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880" windowHeight="733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>
    <definedName name="_xlnm.Print_Area" localSheetId="0">'Sheet1'!$B$1:$J$81</definedName>
  </definedNames>
  <calcPr fullCalcOnLoad="1"/>
</workbook>
</file>

<file path=xl/sharedStrings.xml><?xml version="1.0" encoding="utf-8"?>
<sst xmlns="http://schemas.openxmlformats.org/spreadsheetml/2006/main" count="340" uniqueCount="288">
  <si>
    <t>Place</t>
  </si>
  <si>
    <t>Meredith Bruster</t>
  </si>
  <si>
    <t>Tristan Thompson</t>
  </si>
  <si>
    <t>DNR</t>
  </si>
  <si>
    <t>Tessa James</t>
  </si>
  <si>
    <t>Mile 1</t>
  </si>
  <si>
    <t>Mile 2</t>
  </si>
  <si>
    <t>FS</t>
  </si>
  <si>
    <t>Erin Moser</t>
  </si>
  <si>
    <t>Maddie Guenzler</t>
  </si>
  <si>
    <t>Chloe Nelson</t>
  </si>
  <si>
    <t>Tori Nelson</t>
  </si>
  <si>
    <t>Ellie Sink</t>
  </si>
  <si>
    <t>Sarah Vlasic</t>
  </si>
  <si>
    <t>Molly Morris</t>
  </si>
  <si>
    <t>Katie Melbourne</t>
  </si>
  <si>
    <t>Kayla Schmell</t>
  </si>
  <si>
    <t>Jenni Kruse</t>
  </si>
  <si>
    <t>Erica Staub</t>
  </si>
  <si>
    <t>Maddie Morrison</t>
  </si>
  <si>
    <t>Julie Lohman</t>
  </si>
  <si>
    <t>Kate Staebell</t>
  </si>
  <si>
    <t>Jacinta Ariaga</t>
  </si>
  <si>
    <t>Sam Richard</t>
  </si>
  <si>
    <t>Anna Rodriguez</t>
  </si>
  <si>
    <t>Emily Lohman</t>
  </si>
  <si>
    <t>Erin Mitchell</t>
  </si>
  <si>
    <t>Abby Sturtzer</t>
  </si>
  <si>
    <t>Brittni Weinscheink</t>
  </si>
  <si>
    <t>Rachel Barnes</t>
  </si>
  <si>
    <t>Sarah Huber</t>
  </si>
  <si>
    <t>Emily Schwake</t>
  </si>
  <si>
    <t>16:43 (10)</t>
  </si>
  <si>
    <t>16:33 (10)</t>
  </si>
  <si>
    <t>17:53 (10)</t>
  </si>
  <si>
    <t>19:12 (10)</t>
  </si>
  <si>
    <t>20:36 (11)</t>
  </si>
  <si>
    <t>AAAAAH6/v00=</t>
  </si>
  <si>
    <t>Addie Royer</t>
  </si>
  <si>
    <t>Maddie Reynolds</t>
  </si>
  <si>
    <t>Mickey Malmgren</t>
  </si>
  <si>
    <t>14:25 (10)</t>
  </si>
  <si>
    <t>Claire Schwarz</t>
  </si>
  <si>
    <t>Anne Leners</t>
  </si>
  <si>
    <t>Ali Oppel</t>
  </si>
  <si>
    <t>Kierstyn Feld</t>
  </si>
  <si>
    <t>16:14 (10)</t>
  </si>
  <si>
    <t>Varsity</t>
  </si>
  <si>
    <t>Brenna German</t>
  </si>
  <si>
    <t>Megan Lederman</t>
  </si>
  <si>
    <t>All-Time 4K PR(Yr)</t>
  </si>
  <si>
    <t>Improvement from last year</t>
  </si>
  <si>
    <t xml:space="preserve">Place </t>
  </si>
  <si>
    <t>4K</t>
  </si>
  <si>
    <t>JV</t>
  </si>
  <si>
    <t>19:28</t>
  </si>
  <si>
    <t>20:06</t>
  </si>
  <si>
    <t>2011 Time/Place</t>
  </si>
  <si>
    <t>12 4K PR</t>
  </si>
  <si>
    <t>17:02/ 9 FS</t>
  </si>
  <si>
    <t>15:03/ 3 V</t>
  </si>
  <si>
    <t>15:43/ 12 V</t>
  </si>
  <si>
    <t>15:52/ 14 V</t>
  </si>
  <si>
    <t>16:08/ 19 V</t>
  </si>
  <si>
    <t>16:25/ 30 V</t>
  </si>
  <si>
    <t>16:54/ 8 FS</t>
  </si>
  <si>
    <t>17:22/ 12 FS</t>
  </si>
  <si>
    <t>17:53/ 19 FS</t>
  </si>
  <si>
    <t>17:56/ 20 FS</t>
  </si>
  <si>
    <t>Kaley Ciluffo</t>
  </si>
  <si>
    <t>Carly Donahue</t>
  </si>
  <si>
    <t>McKenzie Yanek</t>
  </si>
  <si>
    <t>14:31 (12)</t>
  </si>
  <si>
    <t>14:37</t>
  </si>
  <si>
    <t>14:37 (12)</t>
  </si>
  <si>
    <t>14:47 (11)</t>
  </si>
  <si>
    <t>14:27 (11)</t>
  </si>
  <si>
    <t>14:28 (11)</t>
  </si>
  <si>
    <t>15:16 (11)</t>
  </si>
  <si>
    <t>16:08 (11)</t>
  </si>
  <si>
    <t>15:57(12)</t>
  </si>
  <si>
    <t>Alyssa Brown</t>
  </si>
  <si>
    <t>Maddie Flinn</t>
  </si>
  <si>
    <t>17:27 (12)</t>
  </si>
  <si>
    <t>Maggie Burke</t>
  </si>
  <si>
    <t>Allison Denny</t>
  </si>
  <si>
    <t>Reghan German</t>
  </si>
  <si>
    <t>17:22 (11)</t>
  </si>
  <si>
    <t>Abby Esters</t>
  </si>
  <si>
    <t>Bri Alman</t>
  </si>
  <si>
    <t>Laura Kulp</t>
  </si>
  <si>
    <t>Jade Jensen</t>
  </si>
  <si>
    <t>Regan Odegard</t>
  </si>
  <si>
    <t>Kelsey Clingingsmith</t>
  </si>
  <si>
    <t>Jessica Garcia</t>
  </si>
  <si>
    <t>Bailey Stewart</t>
  </si>
  <si>
    <t>Sara Judickas</t>
  </si>
  <si>
    <t>Marissa Peebles</t>
  </si>
  <si>
    <t>Carrie Breckenfelder</t>
  </si>
  <si>
    <t>Hannah Griggs</t>
  </si>
  <si>
    <t>Sarah Allen</t>
  </si>
  <si>
    <t>Haley Pangan</t>
  </si>
  <si>
    <t>17:11/ 10 FS</t>
  </si>
  <si>
    <t>17:39/ 14 FS</t>
  </si>
  <si>
    <t>15:27/ 9 V</t>
  </si>
  <si>
    <t>16:32/ 38 FS</t>
  </si>
  <si>
    <t>Bobbi Malmgren</t>
  </si>
  <si>
    <t>Audrey Ehlers</t>
  </si>
  <si>
    <t>Joanna Kulp</t>
  </si>
  <si>
    <t>Ellie Andorf</t>
  </si>
  <si>
    <t>Sarah Oswald</t>
  </si>
  <si>
    <t>19:34</t>
  </si>
  <si>
    <t>Allie Van Raalte</t>
  </si>
  <si>
    <t>Val Feld</t>
  </si>
  <si>
    <t>Sarah Herzberg</t>
  </si>
  <si>
    <t>Jenna Duncan</t>
  </si>
  <si>
    <t>Maddie Bowman</t>
  </si>
  <si>
    <t>Kaylee Dockerty</t>
  </si>
  <si>
    <t>17:32 (12)</t>
  </si>
  <si>
    <t>18:02 (12)</t>
  </si>
  <si>
    <t>17:39(11)</t>
  </si>
  <si>
    <t>18:47 (12)</t>
  </si>
  <si>
    <t>21:05 (12)</t>
  </si>
  <si>
    <t>18:23(11)</t>
  </si>
  <si>
    <t>18:45(11)</t>
  </si>
  <si>
    <t>19:34(11)</t>
  </si>
  <si>
    <t>19:07 (11)</t>
  </si>
  <si>
    <t>19:50 (12)</t>
  </si>
  <si>
    <t>19:30 (12)</t>
  </si>
  <si>
    <t>19:12 (12)</t>
  </si>
  <si>
    <t>20:07 (12)</t>
  </si>
  <si>
    <t>20:31(11)</t>
  </si>
  <si>
    <t>19:33(11)</t>
  </si>
  <si>
    <t>20:33(11)</t>
  </si>
  <si>
    <t>22:21</t>
  </si>
  <si>
    <t>20:06 (11)</t>
  </si>
  <si>
    <t>23:25</t>
  </si>
  <si>
    <t>23:25 (12)</t>
  </si>
  <si>
    <t>23:24</t>
  </si>
  <si>
    <t>20:06(11)</t>
  </si>
  <si>
    <t>21:46</t>
  </si>
  <si>
    <t>22:00</t>
  </si>
  <si>
    <t>22:00 (12)</t>
  </si>
  <si>
    <t>24:01</t>
  </si>
  <si>
    <t>24:01 (12)</t>
  </si>
  <si>
    <t>24:50</t>
  </si>
  <si>
    <t>24:50 (12)</t>
  </si>
  <si>
    <t>24:33</t>
  </si>
  <si>
    <t>24:33 (12)</t>
  </si>
  <si>
    <t>24:55</t>
  </si>
  <si>
    <t>24:55 (12)</t>
  </si>
  <si>
    <t>19:25(11)</t>
  </si>
  <si>
    <t>19:28(11)</t>
  </si>
  <si>
    <t>16:32(11)</t>
  </si>
  <si>
    <t>19:31 (12)</t>
  </si>
  <si>
    <t>Caitlyn Raymon</t>
  </si>
  <si>
    <t>AJ Zickur</t>
  </si>
  <si>
    <t>21:00 (12)</t>
  </si>
  <si>
    <t>21:00</t>
  </si>
  <si>
    <t>15:54 (11)</t>
  </si>
  <si>
    <t>11:44 (6:14)</t>
  </si>
  <si>
    <t>11:38 (6:08)</t>
  </si>
  <si>
    <t>12:09 (6:32)</t>
  </si>
  <si>
    <t>11:45 (6:09)</t>
  </si>
  <si>
    <t>12:44 (6:41)</t>
  </si>
  <si>
    <t>12:41 (6:34)</t>
  </si>
  <si>
    <t>12:52 (6:42)</t>
  </si>
  <si>
    <t>13:10 (6:57)</t>
  </si>
  <si>
    <t>13:17 (6:53)</t>
  </si>
  <si>
    <t>13:16 (6:57)</t>
  </si>
  <si>
    <t>13:19 (7:00)</t>
  </si>
  <si>
    <t>13:17 (6:55)</t>
  </si>
  <si>
    <t>13:24 (7:14)</t>
  </si>
  <si>
    <t>13:26 (7:00)</t>
  </si>
  <si>
    <t>13:21 (6:55)</t>
  </si>
  <si>
    <t>13:51 (7:12)</t>
  </si>
  <si>
    <t>13:46 (7:07)</t>
  </si>
  <si>
    <t>14:00 (7:18)</t>
  </si>
  <si>
    <t>13:46 (7:13)</t>
  </si>
  <si>
    <t>13:17 (6:57)</t>
  </si>
  <si>
    <t>13:42 (7:19)</t>
  </si>
  <si>
    <t>13:40 (7:06)</t>
  </si>
  <si>
    <t>14:00 (7:22)</t>
  </si>
  <si>
    <t>14:30 (7:44)</t>
  </si>
  <si>
    <t>14:52 (8:14)</t>
  </si>
  <si>
    <t>15:00 (7:41)</t>
  </si>
  <si>
    <t>14:32 (7:45)</t>
  </si>
  <si>
    <t>14:47 (8:10)</t>
  </si>
  <si>
    <t>15:30 (8:06)</t>
  </si>
  <si>
    <t>15:35 (8:01)</t>
  </si>
  <si>
    <t>15:40 (8:06)</t>
  </si>
  <si>
    <t>16:00 (7:31)</t>
  </si>
  <si>
    <t>16:37 (8:49)</t>
  </si>
  <si>
    <t>16:42 (8:54)</t>
  </si>
  <si>
    <t>16:15 (8:32)</t>
  </si>
  <si>
    <t>16:47 (8:43)</t>
  </si>
  <si>
    <t>18:30 (10:01)</t>
  </si>
  <si>
    <t>18:35 (9:44)</t>
  </si>
  <si>
    <t>18:40 (9:57)</t>
  </si>
  <si>
    <t>18:00 (9:09)</t>
  </si>
  <si>
    <t>18:47 (9:56)</t>
  </si>
  <si>
    <t>18:30 (9:42)</t>
  </si>
  <si>
    <t>19:50 (10:43)</t>
  </si>
  <si>
    <t>20:00 (10:40)</t>
  </si>
  <si>
    <t>24:30 (13:11)</t>
  </si>
  <si>
    <t>13:14 (7:06)</t>
  </si>
  <si>
    <t>14:51.9</t>
  </si>
  <si>
    <t>14:56.0</t>
  </si>
  <si>
    <t>4</t>
  </si>
  <si>
    <t>15:01.7</t>
  </si>
  <si>
    <t>5</t>
  </si>
  <si>
    <t>15:28.2</t>
  </si>
  <si>
    <t>9</t>
  </si>
  <si>
    <t>16:04.5</t>
  </si>
  <si>
    <t>19</t>
  </si>
  <si>
    <t>16:05.9</t>
  </si>
  <si>
    <t>21</t>
  </si>
  <si>
    <t>16:17.3</t>
  </si>
  <si>
    <t>23</t>
  </si>
  <si>
    <t>16:39.8</t>
  </si>
  <si>
    <t>31</t>
  </si>
  <si>
    <t>17:00.8</t>
  </si>
  <si>
    <t>46</t>
  </si>
  <si>
    <t>Team: 1st - 40 Points</t>
  </si>
  <si>
    <t>-:11</t>
  </si>
  <si>
    <t>-:15</t>
  </si>
  <si>
    <t>-:22</t>
  </si>
  <si>
    <t>16:39 (12) (-23 seconds)</t>
  </si>
  <si>
    <t>16:50.7</t>
  </si>
  <si>
    <t>16:58.1</t>
  </si>
  <si>
    <t>16:58.7</t>
  </si>
  <si>
    <t>6</t>
  </si>
  <si>
    <t>17:03.5</t>
  </si>
  <si>
    <t>7</t>
  </si>
  <si>
    <t>17:11.0</t>
  </si>
  <si>
    <t>8</t>
  </si>
  <si>
    <t>17:27.5</t>
  </si>
  <si>
    <t>12</t>
  </si>
  <si>
    <t>17:27.8</t>
  </si>
  <si>
    <t>13</t>
  </si>
  <si>
    <t>17:39.7</t>
  </si>
  <si>
    <t>15</t>
  </si>
  <si>
    <t>17:41.30</t>
  </si>
  <si>
    <t>17</t>
  </si>
  <si>
    <t>17:52.9</t>
  </si>
  <si>
    <t>- 4 seconds</t>
  </si>
  <si>
    <t>- 55 seconds</t>
  </si>
  <si>
    <t>- 45 seconds</t>
  </si>
  <si>
    <t>16:50(12) (-4 seconds)</t>
  </si>
  <si>
    <t>16:58 (12) (-1:20)</t>
  </si>
  <si>
    <t>16:58 (12) (-37 seconds)</t>
  </si>
  <si>
    <t>17:03 (12) (-49 seconds)</t>
  </si>
  <si>
    <t>17:11 (11) (-45 seconds)</t>
  </si>
  <si>
    <t>17:39 (12) (-51 seconds)</t>
  </si>
  <si>
    <t>17:27 (12) (-23 seconds)</t>
  </si>
  <si>
    <t>17:41 (12) (-41 seconds)</t>
  </si>
  <si>
    <t>18:33</t>
  </si>
  <si>
    <t>20:52</t>
  </si>
  <si>
    <t>22:18</t>
  </si>
  <si>
    <t>21:37</t>
  </si>
  <si>
    <t>23:03</t>
  </si>
  <si>
    <t>23:30</t>
  </si>
  <si>
    <t>24:21</t>
  </si>
  <si>
    <t>21:39</t>
  </si>
  <si>
    <t>24:04</t>
  </si>
  <si>
    <t>25:12</t>
  </si>
  <si>
    <t>30:42</t>
  </si>
  <si>
    <t>22:02</t>
  </si>
  <si>
    <t>- 59 seconds</t>
  </si>
  <si>
    <t>- 2:00</t>
  </si>
  <si>
    <t>- 1:50</t>
  </si>
  <si>
    <t>23:44</t>
  </si>
  <si>
    <t>23:18</t>
  </si>
  <si>
    <t>22:28</t>
  </si>
  <si>
    <t>16:48 (12) (-40 seconds)</t>
  </si>
  <si>
    <t>18:36 (12) (-27 seconds)</t>
  </si>
  <si>
    <t>20:06 (12) (-17 seconds)</t>
  </si>
  <si>
    <t>20:12 (12) (- 1:00)</t>
  </si>
  <si>
    <t>20:22 (12) (- 40 seconds)</t>
  </si>
  <si>
    <t>20:52 (12) (- 40 seconds)</t>
  </si>
  <si>
    <t>23:44 (12) (-43 seconds)</t>
  </si>
  <si>
    <t>23:03 (12) (- 1:04)</t>
  </si>
  <si>
    <t>23:18 (12) (- 3:43)</t>
  </si>
  <si>
    <t>22:28 (12) (- 7 seconds)</t>
  </si>
  <si>
    <t>30:42 (12) (- 4:09)</t>
  </si>
  <si>
    <t>1st - 30 pts</t>
  </si>
  <si>
    <t>No Team Scores</t>
  </si>
  <si>
    <t>21:06 (12) (-12 seconds)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</si>
</sst>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0" fontId="2" fillId="0" borderId="0" xfId="0" applyNumberFormat="1" applyFont="1" applyAlignment="1">
      <alignment horizontal="center" vertical="center"/>
    </xf>
    <xf numFmtId="0" fontId="3" fillId="33" borderId="0" xfId="0" applyFont="1" applyFill="1" applyAlignment="1">
      <alignment horizontal="center"/>
    </xf>
    <xf numFmtId="20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49" fontId="10" fillId="33" borderId="0" xfId="0" applyNumberFormat="1" applyFont="1" applyFill="1" applyAlignment="1">
      <alignment/>
    </xf>
    <xf numFmtId="20" fontId="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tabSelected="1" view="pageBreakPreview" zoomScale="90" zoomScaleSheetLayoutView="90" zoomScalePageLayoutView="0" workbookViewId="0" topLeftCell="B32">
      <selection activeCell="A39" sqref="A39:IV39"/>
    </sheetView>
  </sheetViews>
  <sheetFormatPr defaultColWidth="9.140625" defaultRowHeight="12.75"/>
  <cols>
    <col min="1" max="1" width="6.7109375" style="0" hidden="1" customWidth="1"/>
    <col min="2" max="2" width="23.140625" style="8" bestFit="1" customWidth="1"/>
    <col min="3" max="3" width="17.00390625" style="8" bestFit="1" customWidth="1"/>
    <col min="4" max="4" width="18.8515625" style="8" bestFit="1" customWidth="1"/>
    <col min="5" max="5" width="21.57421875" style="16" bestFit="1" customWidth="1"/>
    <col min="6" max="6" width="18.421875" style="11" customWidth="1"/>
    <col min="7" max="7" width="19.7109375" style="8" customWidth="1"/>
    <col min="8" max="8" width="19.7109375" style="13" customWidth="1"/>
    <col min="9" max="9" width="19.7109375" style="8" customWidth="1"/>
    <col min="10" max="10" width="35.7109375" style="8" customWidth="1"/>
  </cols>
  <sheetData>
    <row r="1" spans="1:10" s="3" customFormat="1" ht="32.25">
      <c r="A1" s="3" t="s">
        <v>0</v>
      </c>
      <c r="B1" s="3" t="s">
        <v>47</v>
      </c>
      <c r="C1" s="3" t="s">
        <v>5</v>
      </c>
      <c r="D1" s="3" t="s">
        <v>6</v>
      </c>
      <c r="E1" s="14" t="s">
        <v>53</v>
      </c>
      <c r="F1" s="10" t="s">
        <v>0</v>
      </c>
      <c r="G1" s="3" t="s">
        <v>57</v>
      </c>
      <c r="H1" s="12" t="s">
        <v>51</v>
      </c>
      <c r="I1" s="3" t="s">
        <v>58</v>
      </c>
      <c r="J1" s="3" t="s">
        <v>50</v>
      </c>
    </row>
    <row r="2" spans="2:10" s="5" customFormat="1" ht="18" customHeight="1">
      <c r="B2" s="5" t="s">
        <v>39</v>
      </c>
      <c r="C2" s="4">
        <v>0.2298611111111111</v>
      </c>
      <c r="D2" s="4" t="s">
        <v>161</v>
      </c>
      <c r="E2" s="9" t="s">
        <v>206</v>
      </c>
      <c r="F2" s="9">
        <v>3</v>
      </c>
      <c r="G2" s="5" t="s">
        <v>60</v>
      </c>
      <c r="H2" s="9" t="s">
        <v>224</v>
      </c>
      <c r="I2" s="4">
        <v>0.61875</v>
      </c>
      <c r="J2" s="4" t="s">
        <v>76</v>
      </c>
    </row>
    <row r="3" spans="1:21" s="5" customFormat="1" ht="18" customHeight="1">
      <c r="A3" s="5">
        <v>2</v>
      </c>
      <c r="B3" s="5" t="s">
        <v>71</v>
      </c>
      <c r="C3" s="4">
        <v>0.22916666666666666</v>
      </c>
      <c r="D3" s="4" t="s">
        <v>160</v>
      </c>
      <c r="E3" s="9" t="s">
        <v>207</v>
      </c>
      <c r="F3" s="9" t="s">
        <v>208</v>
      </c>
      <c r="G3" s="4" t="s">
        <v>3</v>
      </c>
      <c r="H3" s="9"/>
      <c r="I3" s="9" t="s">
        <v>73</v>
      </c>
      <c r="J3" s="5" t="s">
        <v>74</v>
      </c>
      <c r="M3" s="4"/>
      <c r="N3" s="4"/>
      <c r="O3" s="4"/>
      <c r="P3" s="4"/>
      <c r="Q3" s="4"/>
      <c r="R3" s="4"/>
      <c r="U3" s="4"/>
    </row>
    <row r="4" spans="1:10" s="5" customFormat="1" ht="18" customHeight="1">
      <c r="A4" s="5">
        <v>16</v>
      </c>
      <c r="B4" s="5" t="s">
        <v>38</v>
      </c>
      <c r="C4" s="4">
        <v>0.2333333333333333</v>
      </c>
      <c r="D4" s="4" t="s">
        <v>163</v>
      </c>
      <c r="E4" s="9" t="s">
        <v>209</v>
      </c>
      <c r="F4" s="9" t="s">
        <v>210</v>
      </c>
      <c r="G4" s="5" t="s">
        <v>3</v>
      </c>
      <c r="H4" s="9"/>
      <c r="I4" s="4">
        <v>0.6256944444444444</v>
      </c>
      <c r="J4" s="5" t="s">
        <v>77</v>
      </c>
    </row>
    <row r="5" spans="2:10" s="5" customFormat="1" ht="18" customHeight="1">
      <c r="B5" s="5" t="s">
        <v>44</v>
      </c>
      <c r="C5" s="4">
        <v>0.2340277777777778</v>
      </c>
      <c r="D5" s="4" t="s">
        <v>162</v>
      </c>
      <c r="E5" s="9" t="s">
        <v>211</v>
      </c>
      <c r="F5" s="9" t="s">
        <v>212</v>
      </c>
      <c r="G5" s="5" t="s">
        <v>61</v>
      </c>
      <c r="H5" s="9" t="s">
        <v>225</v>
      </c>
      <c r="I5" s="4">
        <v>0.6402777777777778</v>
      </c>
      <c r="J5" s="5" t="s">
        <v>75</v>
      </c>
    </row>
    <row r="6" spans="2:10" s="5" customFormat="1" ht="18" customHeight="1">
      <c r="B6" s="5" t="s">
        <v>43</v>
      </c>
      <c r="C6" s="4">
        <v>0.2548611111111111</v>
      </c>
      <c r="D6" s="4" t="s">
        <v>165</v>
      </c>
      <c r="E6" s="9" t="s">
        <v>213</v>
      </c>
      <c r="F6" s="9" t="s">
        <v>214</v>
      </c>
      <c r="G6" s="4" t="s">
        <v>62</v>
      </c>
      <c r="H6" s="9"/>
      <c r="I6" s="4">
        <v>0.6694444444444444</v>
      </c>
      <c r="J6" s="5" t="s">
        <v>78</v>
      </c>
    </row>
    <row r="7" spans="1:10" s="5" customFormat="1" ht="18" customHeight="1">
      <c r="A7" s="5">
        <v>17</v>
      </c>
      <c r="B7" s="5" t="s">
        <v>42</v>
      </c>
      <c r="C7" s="4">
        <v>0.2520833333333333</v>
      </c>
      <c r="D7" s="4" t="s">
        <v>164</v>
      </c>
      <c r="E7" s="9" t="s">
        <v>215</v>
      </c>
      <c r="F7" s="9" t="s">
        <v>216</v>
      </c>
      <c r="G7" s="4" t="s">
        <v>3</v>
      </c>
      <c r="H7" s="9"/>
      <c r="I7" s="4">
        <v>0.6659722222222222</v>
      </c>
      <c r="J7" s="5" t="s">
        <v>159</v>
      </c>
    </row>
    <row r="8" spans="1:22" s="5" customFormat="1" ht="18">
      <c r="A8" s="5">
        <v>5</v>
      </c>
      <c r="B8" s="5" t="s">
        <v>48</v>
      </c>
      <c r="C8" s="4">
        <v>0.2569444444444445</v>
      </c>
      <c r="D8" s="4" t="s">
        <v>166</v>
      </c>
      <c r="E8" s="9" t="s">
        <v>217</v>
      </c>
      <c r="F8" s="9" t="s">
        <v>218</v>
      </c>
      <c r="G8" s="5" t="s">
        <v>63</v>
      </c>
      <c r="H8" s="9"/>
      <c r="I8" s="4">
        <v>0.6784722222222223</v>
      </c>
      <c r="J8" s="5" t="s">
        <v>79</v>
      </c>
      <c r="K8" s="8"/>
      <c r="L8" s="8"/>
      <c r="M8" s="8"/>
      <c r="N8" s="8"/>
      <c r="O8" s="8"/>
      <c r="P8" s="8"/>
      <c r="Q8" s="8"/>
      <c r="R8" s="23"/>
      <c r="S8" s="7"/>
      <c r="T8" s="8"/>
      <c r="U8" s="8"/>
      <c r="V8" s="8"/>
    </row>
    <row r="9" spans="1:10" s="2" customFormat="1" ht="15.75">
      <c r="A9" s="2">
        <v>4</v>
      </c>
      <c r="B9" s="25" t="s">
        <v>9</v>
      </c>
      <c r="C9" s="26">
        <v>0.26666666666666666</v>
      </c>
      <c r="D9" s="26" t="s">
        <v>168</v>
      </c>
      <c r="E9" s="27" t="s">
        <v>219</v>
      </c>
      <c r="F9" s="27" t="s">
        <v>220</v>
      </c>
      <c r="G9" s="25" t="s">
        <v>59</v>
      </c>
      <c r="H9" s="27" t="s">
        <v>226</v>
      </c>
      <c r="I9" s="26">
        <v>0.69375</v>
      </c>
      <c r="J9" s="25" t="s">
        <v>227</v>
      </c>
    </row>
    <row r="10" spans="1:21" s="5" customFormat="1" ht="18" customHeight="1">
      <c r="A10" s="5">
        <v>1</v>
      </c>
      <c r="B10" s="5" t="s">
        <v>45</v>
      </c>
      <c r="C10" s="4">
        <v>0.2590277777777778</v>
      </c>
      <c r="D10" s="4" t="s">
        <v>167</v>
      </c>
      <c r="E10" s="9" t="s">
        <v>221</v>
      </c>
      <c r="F10" s="9" t="s">
        <v>222</v>
      </c>
      <c r="G10" s="5" t="s">
        <v>64</v>
      </c>
      <c r="H10" s="9"/>
      <c r="I10" s="4">
        <v>0.7083333333333334</v>
      </c>
      <c r="J10" s="5" t="s">
        <v>46</v>
      </c>
      <c r="M10" s="4"/>
      <c r="N10" s="4"/>
      <c r="O10" s="4"/>
      <c r="P10" s="4"/>
      <c r="Q10" s="4"/>
      <c r="R10" s="4"/>
      <c r="T10" s="4"/>
      <c r="U10" s="4"/>
    </row>
    <row r="11" spans="3:9" s="5" customFormat="1" ht="18" customHeight="1">
      <c r="C11" s="4"/>
      <c r="D11" s="4"/>
      <c r="E11" s="15"/>
      <c r="F11" s="21" t="s">
        <v>223</v>
      </c>
      <c r="G11" s="4"/>
      <c r="H11" s="9"/>
      <c r="I11" s="4"/>
    </row>
    <row r="12" spans="1:10" s="3" customFormat="1" ht="32.25">
      <c r="A12" s="3" t="s">
        <v>0</v>
      </c>
      <c r="B12" s="2" t="s">
        <v>7</v>
      </c>
      <c r="C12" s="2" t="s">
        <v>5</v>
      </c>
      <c r="D12" s="2" t="s">
        <v>6</v>
      </c>
      <c r="E12" s="17" t="s">
        <v>53</v>
      </c>
      <c r="F12" s="10" t="s">
        <v>52</v>
      </c>
      <c r="G12" s="3" t="s">
        <v>57</v>
      </c>
      <c r="H12" s="12" t="s">
        <v>51</v>
      </c>
      <c r="I12" s="3" t="s">
        <v>58</v>
      </c>
      <c r="J12" s="3" t="s">
        <v>50</v>
      </c>
    </row>
    <row r="13" spans="2:10" s="2" customFormat="1" ht="18" customHeight="1">
      <c r="B13" s="25" t="s">
        <v>20</v>
      </c>
      <c r="C13" s="26">
        <v>0.26319444444444445</v>
      </c>
      <c r="D13" s="26" t="s">
        <v>169</v>
      </c>
      <c r="E13" s="27" t="s">
        <v>228</v>
      </c>
      <c r="F13" s="27" t="s">
        <v>208</v>
      </c>
      <c r="G13" s="25" t="s">
        <v>65</v>
      </c>
      <c r="H13" s="27" t="s">
        <v>245</v>
      </c>
      <c r="I13" s="26">
        <v>0.7013888888888888</v>
      </c>
      <c r="J13" s="25" t="s">
        <v>248</v>
      </c>
    </row>
    <row r="14" spans="2:10" s="2" customFormat="1" ht="15.75">
      <c r="B14" s="25" t="s">
        <v>16</v>
      </c>
      <c r="C14" s="26">
        <v>0.2652777777777778</v>
      </c>
      <c r="D14" s="25" t="s">
        <v>171</v>
      </c>
      <c r="E14" s="27" t="s">
        <v>229</v>
      </c>
      <c r="F14" s="27" t="s">
        <v>210</v>
      </c>
      <c r="G14" s="25" t="s">
        <v>67</v>
      </c>
      <c r="H14" s="27" t="s">
        <v>246</v>
      </c>
      <c r="I14" s="26">
        <v>0.7069444444444444</v>
      </c>
      <c r="J14" s="25" t="s">
        <v>250</v>
      </c>
    </row>
    <row r="15" spans="2:10" s="2" customFormat="1" ht="15.75">
      <c r="B15" s="25" t="s">
        <v>81</v>
      </c>
      <c r="C15" s="26">
        <v>0.26319444444444445</v>
      </c>
      <c r="D15" s="26" t="s">
        <v>170</v>
      </c>
      <c r="E15" s="27" t="s">
        <v>230</v>
      </c>
      <c r="F15" s="27" t="s">
        <v>231</v>
      </c>
      <c r="G15" s="25" t="s">
        <v>3</v>
      </c>
      <c r="H15" s="27"/>
      <c r="I15" s="26">
        <v>0.7069444444444444</v>
      </c>
      <c r="J15" s="25" t="s">
        <v>249</v>
      </c>
    </row>
    <row r="16" spans="2:10" s="2" customFormat="1" ht="15.75">
      <c r="B16" s="25" t="s">
        <v>84</v>
      </c>
      <c r="C16" s="26">
        <v>0.26805555555555555</v>
      </c>
      <c r="D16" s="25" t="s">
        <v>173</v>
      </c>
      <c r="E16" s="27" t="s">
        <v>232</v>
      </c>
      <c r="F16" s="27" t="s">
        <v>233</v>
      </c>
      <c r="G16" s="25" t="s">
        <v>3</v>
      </c>
      <c r="H16" s="27"/>
      <c r="I16" s="26">
        <v>0.7104166666666667</v>
      </c>
      <c r="J16" s="25" t="s">
        <v>251</v>
      </c>
    </row>
    <row r="17" spans="1:10" s="2" customFormat="1" ht="15.75">
      <c r="A17" s="2">
        <v>4</v>
      </c>
      <c r="B17" s="25" t="s">
        <v>19</v>
      </c>
      <c r="C17" s="26">
        <v>0.26805555555555555</v>
      </c>
      <c r="D17" s="26" t="s">
        <v>174</v>
      </c>
      <c r="E17" s="27" t="s">
        <v>234</v>
      </c>
      <c r="F17" s="27" t="s">
        <v>235</v>
      </c>
      <c r="G17" s="25" t="s">
        <v>68</v>
      </c>
      <c r="H17" s="27" t="s">
        <v>247</v>
      </c>
      <c r="I17" s="26">
        <v>0.7159722222222222</v>
      </c>
      <c r="J17" s="25" t="s">
        <v>252</v>
      </c>
    </row>
    <row r="18" spans="2:10" s="5" customFormat="1" ht="15">
      <c r="B18" s="5" t="s">
        <v>82</v>
      </c>
      <c r="C18" s="4">
        <v>0.2569444444444445</v>
      </c>
      <c r="D18" s="5" t="s">
        <v>172</v>
      </c>
      <c r="E18" s="9" t="s">
        <v>236</v>
      </c>
      <c r="F18" s="9" t="s">
        <v>237</v>
      </c>
      <c r="G18" s="5" t="s">
        <v>3</v>
      </c>
      <c r="H18" s="9"/>
      <c r="I18" s="4">
        <v>0.7270833333333333</v>
      </c>
      <c r="J18" s="5" t="s">
        <v>83</v>
      </c>
    </row>
    <row r="19" spans="2:10" s="2" customFormat="1" ht="18" customHeight="1">
      <c r="B19" s="25" t="s">
        <v>86</v>
      </c>
      <c r="C19" s="26">
        <v>0.27708333333333335</v>
      </c>
      <c r="D19" s="26" t="s">
        <v>176</v>
      </c>
      <c r="E19" s="27" t="s">
        <v>238</v>
      </c>
      <c r="F19" s="27" t="s">
        <v>239</v>
      </c>
      <c r="G19" s="25" t="s">
        <v>3</v>
      </c>
      <c r="H19" s="27"/>
      <c r="I19" s="26">
        <v>0.7270833333333333</v>
      </c>
      <c r="J19" s="25" t="s">
        <v>254</v>
      </c>
    </row>
    <row r="20" spans="2:10" s="2" customFormat="1" ht="18" customHeight="1">
      <c r="B20" s="25" t="s">
        <v>85</v>
      </c>
      <c r="C20" s="26">
        <v>0.27708333333333335</v>
      </c>
      <c r="D20" s="26" t="s">
        <v>175</v>
      </c>
      <c r="E20" s="27" t="s">
        <v>240</v>
      </c>
      <c r="F20" s="27" t="s">
        <v>241</v>
      </c>
      <c r="G20" s="25" t="s">
        <v>3</v>
      </c>
      <c r="H20" s="27"/>
      <c r="I20" s="26">
        <v>0.7354166666666666</v>
      </c>
      <c r="J20" s="25" t="s">
        <v>253</v>
      </c>
    </row>
    <row r="21" spans="2:10" s="28" customFormat="1" ht="15.75">
      <c r="B21" s="25" t="s">
        <v>88</v>
      </c>
      <c r="C21" s="26">
        <v>0.27291666666666664</v>
      </c>
      <c r="D21" s="26" t="s">
        <v>178</v>
      </c>
      <c r="E21" s="27" t="s">
        <v>242</v>
      </c>
      <c r="F21" s="27" t="s">
        <v>243</v>
      </c>
      <c r="G21" s="25" t="s">
        <v>3</v>
      </c>
      <c r="H21" s="29"/>
      <c r="I21" s="26">
        <v>0.7368055555555556</v>
      </c>
      <c r="J21" s="25" t="s">
        <v>255</v>
      </c>
    </row>
    <row r="22" spans="1:21" s="5" customFormat="1" ht="15">
      <c r="A22" s="5">
        <v>7</v>
      </c>
      <c r="B22" s="5" t="s">
        <v>15</v>
      </c>
      <c r="C22" s="4">
        <v>0.2791666666666667</v>
      </c>
      <c r="D22" s="4" t="s">
        <v>177</v>
      </c>
      <c r="E22" s="9" t="s">
        <v>244</v>
      </c>
      <c r="F22" s="9" t="s">
        <v>214</v>
      </c>
      <c r="G22" s="5" t="s">
        <v>66</v>
      </c>
      <c r="H22" s="9"/>
      <c r="I22" s="4">
        <v>0.7444444444444445</v>
      </c>
      <c r="J22" s="5" t="s">
        <v>87</v>
      </c>
      <c r="M22" s="4"/>
      <c r="N22" s="4"/>
      <c r="O22" s="4"/>
      <c r="P22" s="4"/>
      <c r="Q22" s="4"/>
      <c r="R22" s="4"/>
      <c r="U22" s="4"/>
    </row>
    <row r="23" spans="3:9" s="2" customFormat="1" ht="20.25">
      <c r="C23" s="19"/>
      <c r="D23" s="19"/>
      <c r="E23" s="20"/>
      <c r="F23" s="21" t="s">
        <v>285</v>
      </c>
      <c r="H23" s="21"/>
      <c r="I23" s="19"/>
    </row>
    <row r="24" spans="3:21" s="5" customFormat="1" ht="20.25">
      <c r="C24" s="4"/>
      <c r="D24" s="4"/>
      <c r="E24" s="15"/>
      <c r="F24" s="9"/>
      <c r="H24" s="9"/>
      <c r="I24" s="4"/>
      <c r="O24" s="4"/>
      <c r="P24" s="4"/>
      <c r="Q24" s="4"/>
      <c r="R24" s="4"/>
      <c r="T24" s="4"/>
      <c r="U24" s="4"/>
    </row>
    <row r="25" spans="3:9" s="5" customFormat="1" ht="18" customHeight="1">
      <c r="C25" s="4"/>
      <c r="D25" s="4"/>
      <c r="E25" s="15"/>
      <c r="F25" s="21"/>
      <c r="G25" s="4"/>
      <c r="H25" s="9"/>
      <c r="I25" s="4"/>
    </row>
    <row r="26" spans="1:10" s="3" customFormat="1" ht="32.25">
      <c r="A26" s="3" t="s">
        <v>0</v>
      </c>
      <c r="B26" s="2" t="s">
        <v>54</v>
      </c>
      <c r="C26" s="2" t="s">
        <v>5</v>
      </c>
      <c r="D26" s="2" t="s">
        <v>6</v>
      </c>
      <c r="E26" s="17" t="s">
        <v>53</v>
      </c>
      <c r="F26" s="10" t="s">
        <v>52</v>
      </c>
      <c r="G26" s="3" t="s">
        <v>57</v>
      </c>
      <c r="H26" s="12" t="s">
        <v>51</v>
      </c>
      <c r="I26" s="3" t="s">
        <v>58</v>
      </c>
      <c r="J26" s="3" t="s">
        <v>50</v>
      </c>
    </row>
    <row r="27" spans="1:10" s="2" customFormat="1" ht="15.75">
      <c r="A27" s="2">
        <v>10</v>
      </c>
      <c r="B27" s="25" t="s">
        <v>4</v>
      </c>
      <c r="C27" s="26">
        <v>0.2638888888888889</v>
      </c>
      <c r="D27" s="26" t="s">
        <v>179</v>
      </c>
      <c r="E27" s="26">
        <v>0.7</v>
      </c>
      <c r="F27" s="27"/>
      <c r="G27" s="26">
        <v>0.7409722222222223</v>
      </c>
      <c r="H27" s="27" t="s">
        <v>268</v>
      </c>
      <c r="I27" s="26">
        <v>0.7</v>
      </c>
      <c r="J27" s="25" t="s">
        <v>274</v>
      </c>
    </row>
    <row r="28" spans="1:21" s="5" customFormat="1" ht="18" customHeight="1">
      <c r="A28" s="5">
        <v>7</v>
      </c>
      <c r="B28" s="5" t="s">
        <v>49</v>
      </c>
      <c r="C28" s="4">
        <v>0.2555555555555556</v>
      </c>
      <c r="D28" s="4" t="s">
        <v>205</v>
      </c>
      <c r="E28" s="4">
        <v>0.71875</v>
      </c>
      <c r="F28" s="9"/>
      <c r="G28" s="5" t="s">
        <v>105</v>
      </c>
      <c r="H28" s="9"/>
      <c r="I28" s="9"/>
      <c r="J28" s="5" t="s">
        <v>153</v>
      </c>
      <c r="M28" s="4"/>
      <c r="N28" s="4"/>
      <c r="O28" s="4"/>
      <c r="P28" s="4"/>
      <c r="Q28" s="4"/>
      <c r="R28" s="4"/>
      <c r="U28" s="4"/>
    </row>
    <row r="29" spans="2:10" s="5" customFormat="1" ht="15">
      <c r="B29" s="5" t="s">
        <v>8</v>
      </c>
      <c r="C29" s="4">
        <v>0.2736111111111111</v>
      </c>
      <c r="D29" s="4" t="s">
        <v>181</v>
      </c>
      <c r="E29" s="4">
        <v>0.7291666666666666</v>
      </c>
      <c r="F29" s="9"/>
      <c r="H29" s="9"/>
      <c r="I29" s="4">
        <v>0.7291666666666666</v>
      </c>
      <c r="J29" s="5" t="s">
        <v>33</v>
      </c>
    </row>
    <row r="30" spans="2:10" s="5" customFormat="1" ht="15">
      <c r="B30" s="5" t="s">
        <v>31</v>
      </c>
      <c r="C30" s="4">
        <v>0.2659722222222222</v>
      </c>
      <c r="D30" s="5" t="s">
        <v>180</v>
      </c>
      <c r="E30" s="4">
        <v>0.7326388888888888</v>
      </c>
      <c r="F30" s="9"/>
      <c r="G30" s="4">
        <v>0.8159722222222222</v>
      </c>
      <c r="H30" s="9" t="s">
        <v>269</v>
      </c>
      <c r="I30" s="24">
        <v>0.7305555555555556</v>
      </c>
      <c r="J30" s="5" t="s">
        <v>118</v>
      </c>
    </row>
    <row r="31" spans="2:10" s="5" customFormat="1" ht="15">
      <c r="B31" s="5" t="s">
        <v>89</v>
      </c>
      <c r="C31" s="4">
        <v>0.27638888888888885</v>
      </c>
      <c r="D31" s="4" t="s">
        <v>182</v>
      </c>
      <c r="E31" s="9" t="s">
        <v>256</v>
      </c>
      <c r="F31" s="9"/>
      <c r="G31" s="4"/>
      <c r="H31" s="9"/>
      <c r="I31" s="4">
        <v>0.751388888888889</v>
      </c>
      <c r="J31" s="5" t="s">
        <v>119</v>
      </c>
    </row>
    <row r="32" spans="1:21" s="5" customFormat="1" ht="18.75" customHeight="1">
      <c r="A32" s="5">
        <v>2</v>
      </c>
      <c r="B32" s="5" t="s">
        <v>10</v>
      </c>
      <c r="C32" s="4">
        <v>0.28194444444444444</v>
      </c>
      <c r="D32" s="4" t="s">
        <v>183</v>
      </c>
      <c r="E32" s="4">
        <v>0.7736111111111111</v>
      </c>
      <c r="F32" s="9"/>
      <c r="G32" s="5" t="s">
        <v>102</v>
      </c>
      <c r="H32" s="9"/>
      <c r="I32" s="4">
        <v>0.7569444444444445</v>
      </c>
      <c r="J32" s="5" t="s">
        <v>32</v>
      </c>
      <c r="M32" s="4"/>
      <c r="N32" s="4"/>
      <c r="O32" s="4"/>
      <c r="P32" s="4"/>
      <c r="Q32" s="4"/>
      <c r="R32" s="4"/>
      <c r="U32" s="4"/>
    </row>
    <row r="33" spans="2:10" s="2" customFormat="1" ht="18" customHeight="1">
      <c r="B33" s="25" t="s">
        <v>25</v>
      </c>
      <c r="C33" s="26">
        <v>0.2826388888888889</v>
      </c>
      <c r="D33" s="26" t="s">
        <v>186</v>
      </c>
      <c r="E33" s="26">
        <v>0.775</v>
      </c>
      <c r="F33" s="27"/>
      <c r="G33" s="25"/>
      <c r="H33" s="27"/>
      <c r="I33" s="26">
        <v>0.775</v>
      </c>
      <c r="J33" s="26" t="s">
        <v>275</v>
      </c>
    </row>
    <row r="34" spans="1:10" s="5" customFormat="1" ht="18" customHeight="1">
      <c r="A34" s="5">
        <v>3</v>
      </c>
      <c r="B34" s="5" t="s">
        <v>40</v>
      </c>
      <c r="C34" s="4">
        <v>0.3048611111111111</v>
      </c>
      <c r="D34" s="4" t="s">
        <v>185</v>
      </c>
      <c r="E34" s="4">
        <v>0.7784722222222222</v>
      </c>
      <c r="F34" s="9"/>
      <c r="G34" s="5" t="s">
        <v>104</v>
      </c>
      <c r="H34" s="9"/>
      <c r="I34" s="4">
        <v>0.7729166666666667</v>
      </c>
      <c r="J34" s="4" t="s">
        <v>41</v>
      </c>
    </row>
    <row r="35" spans="2:10" s="5" customFormat="1" ht="18" customHeight="1">
      <c r="B35" s="5" t="s">
        <v>106</v>
      </c>
      <c r="C35" s="4">
        <v>0.27569444444444446</v>
      </c>
      <c r="D35" s="4" t="s">
        <v>187</v>
      </c>
      <c r="E35" s="4">
        <v>0.7868055555555555</v>
      </c>
      <c r="F35" s="9"/>
      <c r="H35" s="9"/>
      <c r="I35" s="4">
        <v>0.782638888888889</v>
      </c>
      <c r="J35" s="4" t="s">
        <v>121</v>
      </c>
    </row>
    <row r="36" spans="2:10" s="5" customFormat="1" ht="16.5" customHeight="1">
      <c r="B36" s="5" t="s">
        <v>17</v>
      </c>
      <c r="C36" s="4">
        <v>0.27638888888888885</v>
      </c>
      <c r="D36" s="4" t="s">
        <v>184</v>
      </c>
      <c r="E36" s="4">
        <v>0.7909722222222223</v>
      </c>
      <c r="F36" s="9"/>
      <c r="G36" s="5" t="s">
        <v>103</v>
      </c>
      <c r="H36" s="9"/>
      <c r="I36" s="4">
        <v>0.7895833333333333</v>
      </c>
      <c r="J36" s="5" t="s">
        <v>120</v>
      </c>
    </row>
    <row r="37" spans="2:10" ht="18">
      <c r="B37" s="5" t="s">
        <v>1</v>
      </c>
      <c r="C37" s="4">
        <v>0.30833333333333335</v>
      </c>
      <c r="D37" s="5" t="s">
        <v>188</v>
      </c>
      <c r="E37" s="4">
        <v>0.8194444444444445</v>
      </c>
      <c r="J37" s="5" t="s">
        <v>34</v>
      </c>
    </row>
    <row r="38" spans="2:10" s="5" customFormat="1" ht="15">
      <c r="B38" s="5" t="s">
        <v>155</v>
      </c>
      <c r="C38" s="4">
        <v>0.30833333333333335</v>
      </c>
      <c r="D38" s="4"/>
      <c r="E38" s="4">
        <v>0.8194444444444445</v>
      </c>
      <c r="F38" s="9"/>
      <c r="G38" s="4"/>
      <c r="H38" s="9"/>
      <c r="I38" s="4">
        <v>0.8131944444444444</v>
      </c>
      <c r="J38" s="5" t="s">
        <v>154</v>
      </c>
    </row>
    <row r="39" spans="2:10" s="5" customFormat="1" ht="18" customHeight="1">
      <c r="B39" s="5" t="s">
        <v>91</v>
      </c>
      <c r="C39" s="4">
        <v>0.31527777777777777</v>
      </c>
      <c r="D39" s="4" t="s">
        <v>190</v>
      </c>
      <c r="E39" s="30">
        <v>0.8215277777777777</v>
      </c>
      <c r="F39" s="9"/>
      <c r="G39" s="4"/>
      <c r="H39" s="9"/>
      <c r="I39" s="4">
        <v>0.8125</v>
      </c>
      <c r="J39" s="5" t="s">
        <v>128</v>
      </c>
    </row>
    <row r="40" spans="1:16" s="5" customFormat="1" ht="15">
      <c r="A40" s="5">
        <v>20</v>
      </c>
      <c r="B40" s="5" t="s">
        <v>26</v>
      </c>
      <c r="C40" s="4">
        <v>0.3048611111111111</v>
      </c>
      <c r="D40" s="4"/>
      <c r="E40" s="4">
        <v>0.8222222222222223</v>
      </c>
      <c r="F40" s="9"/>
      <c r="G40" s="4">
        <v>0.7659722222222222</v>
      </c>
      <c r="H40" s="9"/>
      <c r="I40" s="4">
        <v>0.7916666666666666</v>
      </c>
      <c r="J40" s="5" t="s">
        <v>123</v>
      </c>
      <c r="M40" s="4"/>
      <c r="O40" s="4"/>
      <c r="P40" s="4"/>
    </row>
    <row r="41" spans="2:10" s="5" customFormat="1" ht="15">
      <c r="B41" s="5" t="s">
        <v>109</v>
      </c>
      <c r="C41" s="4">
        <v>0.31527777777777777</v>
      </c>
      <c r="D41" s="4" t="s">
        <v>189</v>
      </c>
      <c r="E41" s="4">
        <v>0.83125</v>
      </c>
      <c r="F41" s="9"/>
      <c r="G41" s="4"/>
      <c r="H41" s="9"/>
      <c r="I41" s="4">
        <v>0.8263888888888888</v>
      </c>
      <c r="J41" s="5" t="s">
        <v>127</v>
      </c>
    </row>
    <row r="42" spans="2:10" s="2" customFormat="1" ht="15.75">
      <c r="B42" s="25" t="s">
        <v>110</v>
      </c>
      <c r="C42" s="26">
        <v>0.3534722222222222</v>
      </c>
      <c r="D42" s="26" t="s">
        <v>191</v>
      </c>
      <c r="E42" s="26">
        <v>0.8375</v>
      </c>
      <c r="F42" s="27"/>
      <c r="G42" s="26"/>
      <c r="H42" s="27"/>
      <c r="I42" s="26">
        <v>0.8375</v>
      </c>
      <c r="J42" s="25" t="s">
        <v>276</v>
      </c>
    </row>
    <row r="43" spans="2:10" s="2" customFormat="1" ht="18" customHeight="1">
      <c r="B43" s="25" t="s">
        <v>112</v>
      </c>
      <c r="C43" s="26"/>
      <c r="D43" s="26">
        <v>0.6645833333333333</v>
      </c>
      <c r="E43" s="26">
        <v>0.8416666666666667</v>
      </c>
      <c r="F43" s="27"/>
      <c r="G43" s="26"/>
      <c r="H43" s="27"/>
      <c r="I43" s="26">
        <v>0.8833333333333333</v>
      </c>
      <c r="J43" s="25" t="s">
        <v>277</v>
      </c>
    </row>
    <row r="44" spans="2:10" s="2" customFormat="1" ht="18" customHeight="1">
      <c r="B44" s="25" t="s">
        <v>92</v>
      </c>
      <c r="C44" s="26">
        <v>0.3215277777777778</v>
      </c>
      <c r="D44" s="26" t="s">
        <v>194</v>
      </c>
      <c r="E44" s="26">
        <v>0.8486111111111111</v>
      </c>
      <c r="F44" s="27"/>
      <c r="G44" s="26"/>
      <c r="H44" s="27"/>
      <c r="I44" s="26">
        <v>0.8486111111111111</v>
      </c>
      <c r="J44" s="25" t="s">
        <v>278</v>
      </c>
    </row>
    <row r="45" spans="1:10" s="3" customFormat="1" ht="32.25">
      <c r="A45" s="3" t="s">
        <v>0</v>
      </c>
      <c r="B45" s="2" t="s">
        <v>54</v>
      </c>
      <c r="C45" s="2" t="s">
        <v>5</v>
      </c>
      <c r="D45" s="2" t="s">
        <v>6</v>
      </c>
      <c r="E45" s="17" t="s">
        <v>53</v>
      </c>
      <c r="F45" s="10" t="s">
        <v>52</v>
      </c>
      <c r="G45" s="3" t="s">
        <v>57</v>
      </c>
      <c r="H45" s="12" t="s">
        <v>51</v>
      </c>
      <c r="I45" s="3" t="s">
        <v>58</v>
      </c>
      <c r="J45" s="3" t="s">
        <v>50</v>
      </c>
    </row>
    <row r="46" spans="1:10" s="2" customFormat="1" ht="15.75">
      <c r="A46" s="2">
        <v>19</v>
      </c>
      <c r="B46" s="25" t="s">
        <v>24</v>
      </c>
      <c r="C46" s="26">
        <v>0.3361111111111111</v>
      </c>
      <c r="D46" s="26" t="s">
        <v>195</v>
      </c>
      <c r="E46" s="27" t="s">
        <v>257</v>
      </c>
      <c r="F46" s="27"/>
      <c r="G46" s="26">
        <v>0.9506944444444444</v>
      </c>
      <c r="H46" s="27" t="s">
        <v>270</v>
      </c>
      <c r="I46" s="27" t="s">
        <v>257</v>
      </c>
      <c r="J46" s="25" t="s">
        <v>279</v>
      </c>
    </row>
    <row r="47" spans="1:10" s="5" customFormat="1" ht="18" customHeight="1">
      <c r="A47" s="5">
        <v>5</v>
      </c>
      <c r="B47" s="5" t="s">
        <v>18</v>
      </c>
      <c r="C47" s="4">
        <v>0.31805555555555554</v>
      </c>
      <c r="D47" s="4"/>
      <c r="E47" s="4">
        <v>0.8701388888888889</v>
      </c>
      <c r="F47" s="9"/>
      <c r="G47" s="4">
        <v>0.7986111111111112</v>
      </c>
      <c r="H47" s="9"/>
      <c r="I47" s="4">
        <v>0.8256944444444444</v>
      </c>
      <c r="J47" s="5" t="s">
        <v>126</v>
      </c>
    </row>
    <row r="48" spans="2:10" s="5" customFormat="1" ht="18" customHeight="1">
      <c r="B48" s="5" t="s">
        <v>93</v>
      </c>
      <c r="C48" s="4">
        <v>0.31805555555555554</v>
      </c>
      <c r="D48" s="4"/>
      <c r="E48" s="4">
        <v>0.8715277777777778</v>
      </c>
      <c r="F48" s="9"/>
      <c r="G48" s="4"/>
      <c r="H48" s="9"/>
      <c r="I48" s="4">
        <v>0.8381944444444445</v>
      </c>
      <c r="J48" s="5" t="s">
        <v>130</v>
      </c>
    </row>
    <row r="49" spans="2:10" s="2" customFormat="1" ht="15.75">
      <c r="B49" s="25" t="s">
        <v>114</v>
      </c>
      <c r="C49" s="26">
        <v>0.325</v>
      </c>
      <c r="D49" s="26" t="s">
        <v>193</v>
      </c>
      <c r="E49" s="26">
        <v>0.8791666666666668</v>
      </c>
      <c r="F49" s="27"/>
      <c r="G49" s="26"/>
      <c r="H49" s="27"/>
      <c r="I49" s="26">
        <v>0.8791666666666668</v>
      </c>
      <c r="J49" s="25" t="s">
        <v>287</v>
      </c>
    </row>
    <row r="50" spans="2:10" s="5" customFormat="1" ht="18" customHeight="1">
      <c r="B50" s="5" t="s">
        <v>113</v>
      </c>
      <c r="C50" s="4">
        <v>0.325</v>
      </c>
      <c r="D50" s="4" t="s">
        <v>192</v>
      </c>
      <c r="E50" s="4">
        <v>0.8881944444444444</v>
      </c>
      <c r="F50" s="9"/>
      <c r="G50" s="4"/>
      <c r="H50" s="9"/>
      <c r="I50" s="4">
        <v>0.7999999999999999</v>
      </c>
      <c r="J50" s="5" t="s">
        <v>129</v>
      </c>
    </row>
    <row r="51" spans="1:10" s="5" customFormat="1" ht="18" customHeight="1">
      <c r="A51" s="5">
        <v>35</v>
      </c>
      <c r="B51" s="5" t="s">
        <v>11</v>
      </c>
      <c r="C51" s="4">
        <v>0.325</v>
      </c>
      <c r="D51" s="4" t="s">
        <v>192</v>
      </c>
      <c r="E51" s="4">
        <v>0.8881944444444444</v>
      </c>
      <c r="F51" s="9"/>
      <c r="G51" s="4">
        <v>0.8166666666666668</v>
      </c>
      <c r="H51" s="9"/>
      <c r="I51" s="4">
        <v>0.8791666666666668</v>
      </c>
      <c r="J51" s="5" t="s">
        <v>35</v>
      </c>
    </row>
    <row r="52" spans="1:10" s="5" customFormat="1" ht="15">
      <c r="A52" s="5">
        <v>27</v>
      </c>
      <c r="B52" s="5" t="s">
        <v>23</v>
      </c>
      <c r="C52" s="4">
        <v>0.3534722222222222</v>
      </c>
      <c r="D52" s="4"/>
      <c r="E52" s="9" t="s">
        <v>259</v>
      </c>
      <c r="F52" s="9"/>
      <c r="G52" s="4">
        <v>0.8520833333333333</v>
      </c>
      <c r="H52" s="9"/>
      <c r="I52" s="9" t="s">
        <v>259</v>
      </c>
      <c r="J52" s="5" t="s">
        <v>133</v>
      </c>
    </row>
    <row r="53" spans="1:10" s="5" customFormat="1" ht="15">
      <c r="A53" s="5">
        <v>28</v>
      </c>
      <c r="B53" s="5" t="s">
        <v>30</v>
      </c>
      <c r="C53" s="4">
        <v>0.3652777777777778</v>
      </c>
      <c r="D53" s="4"/>
      <c r="E53" s="9" t="s">
        <v>263</v>
      </c>
      <c r="F53" s="9"/>
      <c r="G53" s="4">
        <v>0.8618055555555556</v>
      </c>
      <c r="H53" s="9"/>
      <c r="I53" s="9" t="s">
        <v>263</v>
      </c>
      <c r="J53" s="5" t="s">
        <v>36</v>
      </c>
    </row>
    <row r="54" spans="1:10" s="5" customFormat="1" ht="18" customHeight="1">
      <c r="A54" s="5">
        <v>16</v>
      </c>
      <c r="B54" s="5" t="s">
        <v>21</v>
      </c>
      <c r="C54" s="4">
        <v>0.3361111111111111</v>
      </c>
      <c r="D54" s="4"/>
      <c r="E54" s="9" t="s">
        <v>267</v>
      </c>
      <c r="F54" s="9"/>
      <c r="G54" s="4">
        <v>0.8090277777777778</v>
      </c>
      <c r="H54" s="9"/>
      <c r="I54" s="9"/>
      <c r="J54" s="5" t="s">
        <v>151</v>
      </c>
    </row>
    <row r="55" spans="1:10" s="5" customFormat="1" ht="18" customHeight="1">
      <c r="A55" s="5">
        <v>17</v>
      </c>
      <c r="B55" s="5" t="s">
        <v>22</v>
      </c>
      <c r="C55" s="4"/>
      <c r="D55" s="4">
        <v>0.7291666666666666</v>
      </c>
      <c r="E55" s="9" t="s">
        <v>258</v>
      </c>
      <c r="F55" s="9"/>
      <c r="G55" s="4">
        <v>0.8548611111111111</v>
      </c>
      <c r="H55" s="9"/>
      <c r="I55" s="4">
        <v>0.8770833333333333</v>
      </c>
      <c r="J55" s="5" t="s">
        <v>131</v>
      </c>
    </row>
    <row r="56" spans="1:16" s="5" customFormat="1" ht="15">
      <c r="A56" s="5">
        <v>40</v>
      </c>
      <c r="B56" s="5" t="s">
        <v>28</v>
      </c>
      <c r="C56" s="4">
        <v>0.36875</v>
      </c>
      <c r="D56" s="4" t="s">
        <v>199</v>
      </c>
      <c r="E56" s="4">
        <v>0.936111111111111</v>
      </c>
      <c r="F56" s="9"/>
      <c r="G56" s="4">
        <v>0.8152777777777778</v>
      </c>
      <c r="H56" s="9"/>
      <c r="I56" s="9" t="s">
        <v>140</v>
      </c>
      <c r="J56" s="5" t="s">
        <v>125</v>
      </c>
      <c r="M56" s="4"/>
      <c r="O56" s="4"/>
      <c r="P56" s="4"/>
    </row>
    <row r="57" spans="2:16" s="2" customFormat="1" ht="18" customHeight="1">
      <c r="B57" s="25" t="s">
        <v>98</v>
      </c>
      <c r="C57" s="26">
        <v>0.3534722222222222</v>
      </c>
      <c r="D57" s="26"/>
      <c r="E57" s="26">
        <v>0.936111111111111</v>
      </c>
      <c r="F57" s="27"/>
      <c r="G57" s="25"/>
      <c r="H57" s="27"/>
      <c r="I57" s="27" t="s">
        <v>273</v>
      </c>
      <c r="J57" s="25" t="s">
        <v>283</v>
      </c>
      <c r="M57" s="19"/>
      <c r="O57" s="19"/>
      <c r="P57" s="19"/>
    </row>
    <row r="58" spans="2:10" s="2" customFormat="1" ht="15.75">
      <c r="B58" s="25" t="s">
        <v>94</v>
      </c>
      <c r="C58" s="26">
        <v>0.36875</v>
      </c>
      <c r="D58" s="26"/>
      <c r="E58" s="27" t="s">
        <v>260</v>
      </c>
      <c r="F58" s="27"/>
      <c r="G58" s="25"/>
      <c r="H58" s="27"/>
      <c r="I58" s="27" t="s">
        <v>260</v>
      </c>
      <c r="J58" s="25" t="s">
        <v>281</v>
      </c>
    </row>
    <row r="59" spans="2:16" s="2" customFormat="1" ht="18" customHeight="1">
      <c r="B59" s="25" t="s">
        <v>116</v>
      </c>
      <c r="C59" s="26">
        <v>0.3666666666666667</v>
      </c>
      <c r="D59" s="26" t="s">
        <v>201</v>
      </c>
      <c r="E59" s="26">
        <v>0.9708333333333333</v>
      </c>
      <c r="F59" s="27"/>
      <c r="G59" s="25"/>
      <c r="H59" s="27"/>
      <c r="I59" s="27" t="s">
        <v>272</v>
      </c>
      <c r="J59" s="25" t="s">
        <v>282</v>
      </c>
      <c r="M59" s="19"/>
      <c r="O59" s="19"/>
      <c r="P59" s="19"/>
    </row>
    <row r="60" spans="1:10" s="5" customFormat="1" ht="15">
      <c r="A60" s="5">
        <v>50</v>
      </c>
      <c r="B60" s="5" t="s">
        <v>14</v>
      </c>
      <c r="C60" s="4">
        <v>0.36875</v>
      </c>
      <c r="D60" s="4" t="s">
        <v>197</v>
      </c>
      <c r="E60" s="9" t="s">
        <v>261</v>
      </c>
      <c r="F60" s="9"/>
      <c r="G60" s="4">
        <v>0.8562500000000001</v>
      </c>
      <c r="H60" s="9"/>
      <c r="I60" s="9" t="s">
        <v>134</v>
      </c>
      <c r="J60" s="5" t="s">
        <v>135</v>
      </c>
    </row>
    <row r="61" spans="2:16" s="2" customFormat="1" ht="15.75">
      <c r="B61" s="25" t="s">
        <v>115</v>
      </c>
      <c r="C61" s="26">
        <v>0.3534722222222222</v>
      </c>
      <c r="D61" s="26" t="s">
        <v>196</v>
      </c>
      <c r="E61" s="26">
        <v>0.9888888888888889</v>
      </c>
      <c r="F61" s="27"/>
      <c r="G61" s="26"/>
      <c r="H61" s="27"/>
      <c r="I61" s="27" t="s">
        <v>271</v>
      </c>
      <c r="J61" s="25" t="s">
        <v>280</v>
      </c>
      <c r="M61" s="22"/>
      <c r="P61" s="22"/>
    </row>
    <row r="62" spans="2:16" s="5" customFormat="1" ht="15">
      <c r="B62" s="5" t="s">
        <v>97</v>
      </c>
      <c r="C62" s="4">
        <v>0.36875</v>
      </c>
      <c r="D62" s="4" t="s">
        <v>200</v>
      </c>
      <c r="E62" s="9" t="s">
        <v>264</v>
      </c>
      <c r="F62" s="9"/>
      <c r="H62" s="9"/>
      <c r="I62" s="9" t="s">
        <v>143</v>
      </c>
      <c r="J62" s="5" t="s">
        <v>144</v>
      </c>
      <c r="M62" s="4"/>
      <c r="O62" s="4"/>
      <c r="P62" s="4"/>
    </row>
    <row r="63" spans="2:10" s="5" customFormat="1" ht="15">
      <c r="B63" s="5" t="s">
        <v>13</v>
      </c>
      <c r="C63" s="4">
        <v>0.36319444444444443</v>
      </c>
      <c r="D63" s="4" t="s">
        <v>198</v>
      </c>
      <c r="E63" s="9" t="s">
        <v>262</v>
      </c>
      <c r="F63" s="9"/>
      <c r="G63" s="9" t="s">
        <v>56</v>
      </c>
      <c r="H63" s="9"/>
      <c r="I63" s="9" t="s">
        <v>138</v>
      </c>
      <c r="J63" s="5" t="s">
        <v>139</v>
      </c>
    </row>
    <row r="64" spans="2:16" s="5" customFormat="1" ht="18" customHeight="1">
      <c r="B64" s="5" t="s">
        <v>99</v>
      </c>
      <c r="C64" s="4">
        <v>0.37986111111111115</v>
      </c>
      <c r="D64" s="4" t="s">
        <v>202</v>
      </c>
      <c r="E64" s="9" t="s">
        <v>265</v>
      </c>
      <c r="F64" s="9"/>
      <c r="H64" s="9"/>
      <c r="I64" s="9" t="s">
        <v>145</v>
      </c>
      <c r="J64" s="5" t="s">
        <v>146</v>
      </c>
      <c r="M64" s="4"/>
      <c r="O64" s="4"/>
      <c r="P64" s="4"/>
    </row>
    <row r="65" spans="2:16" s="5" customFormat="1" ht="15">
      <c r="B65" s="5" t="s">
        <v>100</v>
      </c>
      <c r="C65" s="4">
        <v>0.3888888888888889</v>
      </c>
      <c r="D65" s="4" t="s">
        <v>203</v>
      </c>
      <c r="E65" s="9" t="s">
        <v>265</v>
      </c>
      <c r="F65" s="9"/>
      <c r="H65" s="9"/>
      <c r="I65" s="9" t="s">
        <v>147</v>
      </c>
      <c r="J65" s="5" t="s">
        <v>148</v>
      </c>
      <c r="M65" s="4"/>
      <c r="O65" s="4"/>
      <c r="P65" s="4"/>
    </row>
    <row r="66" spans="2:16" s="5" customFormat="1" ht="18" customHeight="1">
      <c r="B66" s="5" t="s">
        <v>101</v>
      </c>
      <c r="C66" s="4">
        <v>0.3888888888888889</v>
      </c>
      <c r="D66" s="4" t="s">
        <v>203</v>
      </c>
      <c r="E66" s="9" t="s">
        <v>265</v>
      </c>
      <c r="F66" s="9"/>
      <c r="H66" s="9"/>
      <c r="I66" s="9" t="s">
        <v>149</v>
      </c>
      <c r="J66" s="5" t="s">
        <v>150</v>
      </c>
      <c r="M66" s="4"/>
      <c r="O66" s="4"/>
      <c r="P66" s="4"/>
    </row>
    <row r="67" spans="2:16" s="2" customFormat="1" ht="18" customHeight="1">
      <c r="B67" s="25" t="s">
        <v>117</v>
      </c>
      <c r="C67" s="26">
        <v>0.47152777777777777</v>
      </c>
      <c r="D67" s="26" t="s">
        <v>204</v>
      </c>
      <c r="E67" s="27" t="s">
        <v>266</v>
      </c>
      <c r="F67" s="27"/>
      <c r="G67" s="25"/>
      <c r="H67" s="27"/>
      <c r="I67" s="27" t="s">
        <v>266</v>
      </c>
      <c r="J67" s="25" t="s">
        <v>284</v>
      </c>
      <c r="M67" s="19"/>
      <c r="O67" s="19"/>
      <c r="P67" s="19"/>
    </row>
    <row r="68" spans="3:9" s="5" customFormat="1" ht="18" customHeight="1">
      <c r="C68" s="4"/>
      <c r="D68" s="4"/>
      <c r="E68" s="30"/>
      <c r="F68" s="21" t="s">
        <v>286</v>
      </c>
      <c r="G68" s="4"/>
      <c r="H68" s="9"/>
      <c r="I68" s="4"/>
    </row>
    <row r="69" spans="2:9" s="5" customFormat="1" ht="18" customHeight="1">
      <c r="B69" s="2" t="s">
        <v>3</v>
      </c>
      <c r="C69" s="4"/>
      <c r="D69" s="4"/>
      <c r="E69" s="30"/>
      <c r="F69" s="9"/>
      <c r="G69" s="4"/>
      <c r="H69" s="9"/>
      <c r="I69" s="4"/>
    </row>
    <row r="70" spans="2:10" s="5" customFormat="1" ht="18" customHeight="1">
      <c r="B70" s="5" t="s">
        <v>107</v>
      </c>
      <c r="C70" s="4"/>
      <c r="D70" s="4"/>
      <c r="E70" s="4"/>
      <c r="F70" s="9"/>
      <c r="H70" s="9"/>
      <c r="I70" s="4">
        <v>0.8784722222222222</v>
      </c>
      <c r="J70" s="4" t="s">
        <v>122</v>
      </c>
    </row>
    <row r="71" spans="2:10" s="5" customFormat="1" ht="18" customHeight="1">
      <c r="B71" s="5" t="s">
        <v>90</v>
      </c>
      <c r="C71" s="4"/>
      <c r="D71" s="4"/>
      <c r="E71" s="4"/>
      <c r="F71" s="9"/>
      <c r="H71" s="9"/>
      <c r="I71" s="4"/>
      <c r="J71" s="4"/>
    </row>
    <row r="72" spans="1:16" s="5" customFormat="1" ht="18" customHeight="1">
      <c r="A72" s="5">
        <v>26</v>
      </c>
      <c r="B72" s="5" t="s">
        <v>27</v>
      </c>
      <c r="C72" s="4"/>
      <c r="D72" s="4"/>
      <c r="E72" s="4"/>
      <c r="F72" s="9"/>
      <c r="G72" s="4">
        <v>0.78125</v>
      </c>
      <c r="H72" s="9"/>
      <c r="I72" s="4">
        <v>0.8069444444444445</v>
      </c>
      <c r="J72" s="5" t="s">
        <v>124</v>
      </c>
      <c r="M72" s="4"/>
      <c r="P72" s="4"/>
    </row>
    <row r="73" spans="2:16" s="5" customFormat="1" ht="15">
      <c r="B73" s="5" t="s">
        <v>2</v>
      </c>
      <c r="C73" s="4"/>
      <c r="D73" s="4"/>
      <c r="E73" s="4"/>
      <c r="F73" s="9"/>
      <c r="G73" s="9" t="s">
        <v>111</v>
      </c>
      <c r="H73" s="9"/>
      <c r="I73" s="4">
        <v>0.85</v>
      </c>
      <c r="J73" s="5" t="s">
        <v>125</v>
      </c>
      <c r="M73" s="4"/>
      <c r="O73" s="4"/>
      <c r="P73" s="4"/>
    </row>
    <row r="74" spans="2:5" ht="18">
      <c r="B74" s="5" t="s">
        <v>108</v>
      </c>
      <c r="E74" s="4"/>
    </row>
    <row r="75" spans="1:16" s="5" customFormat="1" ht="18" customHeight="1">
      <c r="A75" s="5">
        <v>44</v>
      </c>
      <c r="B75" s="5" t="s">
        <v>29</v>
      </c>
      <c r="C75" s="4"/>
      <c r="D75" s="4"/>
      <c r="E75" s="4"/>
      <c r="F75" s="9"/>
      <c r="G75" s="4">
        <v>0.8145833333333333</v>
      </c>
      <c r="H75" s="9"/>
      <c r="I75" s="4">
        <v>0.9090277777777778</v>
      </c>
      <c r="J75" s="5" t="s">
        <v>132</v>
      </c>
      <c r="M75" s="6"/>
      <c r="P75" s="6"/>
    </row>
    <row r="76" spans="2:10" s="5" customFormat="1" ht="15">
      <c r="B76" s="5" t="s">
        <v>95</v>
      </c>
      <c r="C76" s="4"/>
      <c r="D76" s="4"/>
      <c r="E76" s="9"/>
      <c r="F76" s="9"/>
      <c r="G76" s="4"/>
      <c r="H76" s="9"/>
      <c r="I76" s="9" t="s">
        <v>136</v>
      </c>
      <c r="J76" s="5" t="s">
        <v>137</v>
      </c>
    </row>
    <row r="77" spans="2:16" s="5" customFormat="1" ht="18" customHeight="1">
      <c r="B77" s="5" t="s">
        <v>96</v>
      </c>
      <c r="C77" s="4"/>
      <c r="D77" s="4"/>
      <c r="E77" s="4"/>
      <c r="F77" s="9"/>
      <c r="H77" s="9"/>
      <c r="I77" s="9" t="s">
        <v>141</v>
      </c>
      <c r="J77" s="5" t="s">
        <v>142</v>
      </c>
      <c r="M77" s="4"/>
      <c r="O77" s="4"/>
      <c r="P77" s="4"/>
    </row>
    <row r="78" spans="2:10" s="5" customFormat="1" ht="18" customHeight="1">
      <c r="B78" s="5" t="s">
        <v>12</v>
      </c>
      <c r="C78" s="4"/>
      <c r="D78" s="4"/>
      <c r="E78" s="9"/>
      <c r="F78" s="9"/>
      <c r="G78" s="9" t="s">
        <v>55</v>
      </c>
      <c r="H78" s="9"/>
      <c r="I78" s="9"/>
      <c r="J78" s="4" t="s">
        <v>152</v>
      </c>
    </row>
    <row r="79" spans="2:10" s="5" customFormat="1" ht="15">
      <c r="B79" s="5" t="s">
        <v>156</v>
      </c>
      <c r="C79" s="4"/>
      <c r="D79" s="4"/>
      <c r="E79" s="9"/>
      <c r="F79" s="9"/>
      <c r="G79" s="6"/>
      <c r="H79" s="9"/>
      <c r="I79" s="9" t="s">
        <v>158</v>
      </c>
      <c r="J79" s="5" t="s">
        <v>157</v>
      </c>
    </row>
    <row r="80" spans="2:10" s="5" customFormat="1" ht="18" customHeight="1">
      <c r="B80" s="5" t="s">
        <v>69</v>
      </c>
      <c r="C80" s="4"/>
      <c r="D80" s="4"/>
      <c r="E80" s="15"/>
      <c r="F80" s="21"/>
      <c r="G80" s="4" t="s">
        <v>3</v>
      </c>
      <c r="H80" s="9"/>
      <c r="I80" s="4">
        <v>0.6048611111111112</v>
      </c>
      <c r="J80" s="5" t="s">
        <v>72</v>
      </c>
    </row>
    <row r="81" spans="2:10" s="5" customFormat="1" ht="18" customHeight="1">
      <c r="B81" s="5" t="s">
        <v>70</v>
      </c>
      <c r="C81" s="4"/>
      <c r="D81" s="4"/>
      <c r="E81" s="15"/>
      <c r="F81" s="21"/>
      <c r="G81" s="4" t="s">
        <v>3</v>
      </c>
      <c r="H81" s="9"/>
      <c r="I81" s="4">
        <v>0.6645833333333333</v>
      </c>
      <c r="J81" s="5" t="s">
        <v>80</v>
      </c>
    </row>
    <row r="82" spans="3:9" s="2" customFormat="1" ht="15.75">
      <c r="C82" s="19"/>
      <c r="E82" s="21"/>
      <c r="F82" s="21"/>
      <c r="G82" s="22"/>
      <c r="H82" s="21"/>
      <c r="I82" s="19"/>
    </row>
    <row r="83" spans="3:9" s="5" customFormat="1" ht="18" customHeight="1">
      <c r="C83" s="4"/>
      <c r="E83" s="9"/>
      <c r="F83" s="9"/>
      <c r="H83" s="9"/>
      <c r="I83" s="4"/>
    </row>
    <row r="84" spans="3:9" s="5" customFormat="1" ht="20.25">
      <c r="C84" s="4"/>
      <c r="D84" s="4"/>
      <c r="E84" s="18"/>
      <c r="F84" s="9"/>
      <c r="G84" s="9"/>
      <c r="H84" s="9"/>
      <c r="I84" s="6"/>
    </row>
    <row r="87" spans="2:9" s="5" customFormat="1" ht="20.25">
      <c r="B87" s="2"/>
      <c r="E87" s="18"/>
      <c r="F87" s="9"/>
      <c r="H87" s="9"/>
      <c r="I87" s="6"/>
    </row>
    <row r="129" spans="1:23" s="1" customFormat="1" ht="18" customHeight="1">
      <c r="A129" s="1">
        <v>23</v>
      </c>
      <c r="B129" s="8"/>
      <c r="C129" s="8"/>
      <c r="D129" s="8"/>
      <c r="E129" s="16"/>
      <c r="F129" s="11"/>
      <c r="G129" s="8"/>
      <c r="H129" s="13"/>
      <c r="I129" s="8"/>
      <c r="J129" s="8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1" customFormat="1" ht="18" customHeight="1">
      <c r="A130" s="1">
        <v>55</v>
      </c>
      <c r="B130" s="8"/>
      <c r="C130" s="8"/>
      <c r="D130" s="8"/>
      <c r="E130" s="16"/>
      <c r="F130" s="11"/>
      <c r="G130" s="8"/>
      <c r="H130" s="13"/>
      <c r="I130" s="8"/>
      <c r="J130" s="8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2:23" s="1" customFormat="1" ht="18" customHeight="1">
      <c r="B131" s="8"/>
      <c r="C131" s="8"/>
      <c r="D131" s="8"/>
      <c r="E131" s="16"/>
      <c r="F131" s="11"/>
      <c r="G131" s="8"/>
      <c r="H131" s="13"/>
      <c r="I131" s="8"/>
      <c r="J131" s="8"/>
      <c r="K131"/>
      <c r="L131"/>
      <c r="M131"/>
      <c r="N131"/>
      <c r="O131"/>
      <c r="P131"/>
      <c r="Q131"/>
      <c r="R131"/>
      <c r="S131"/>
      <c r="T131"/>
      <c r="U131"/>
      <c r="V131"/>
      <c r="W131"/>
    </row>
  </sheetData>
  <sheetProtection/>
  <printOptions gridLines="1" horizontalCentered="1"/>
  <pageMargins left="0.5" right="0.5" top="1" bottom="0.25" header="0.5" footer="0.5"/>
  <pageSetup fitToHeight="2" fitToWidth="1" horizontalDpi="300" verticalDpi="300" orientation="landscape" scale="67" r:id="rId1"/>
  <headerFooter alignWithMargins="0">
    <oddHeader>&amp;CClinton Classic @ Emma Young Park
Saturday, September 29, 2012
Weather -  High 60's, sunny, pleasant</oddHeader>
  </headerFooter>
  <rowBreaks count="1" manualBreakCount="1">
    <brk id="25" min="1" max="9" man="1"/>
  </rowBreaks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BZ8" sqref="BZ8"/>
    </sheetView>
  </sheetViews>
  <sheetFormatPr defaultColWidth="9.140625" defaultRowHeight="12.75"/>
  <sheetData>
    <row r="1" spans="1:256" ht="12.75">
      <c r="A1" t="e">
        <f>IF(Sheet1!12:12,"AAAAADq7uwA=",0)</f>
        <v>#VALUE!</v>
      </c>
      <c r="B1" t="e">
        <f>AND(Sheet1!A12,"AAAAADq7uwE=")</f>
        <v>#VALUE!</v>
      </c>
      <c r="C1" t="e">
        <f>AND(Sheet1!B12,"AAAAADq7uwI=")</f>
        <v>#VALUE!</v>
      </c>
      <c r="D1" t="e">
        <f>AND(Sheet1!C12,"AAAAADq7uwM=")</f>
        <v>#VALUE!</v>
      </c>
      <c r="E1" t="e">
        <f>AND(Sheet1!D12,"AAAAADq7uwQ=")</f>
        <v>#VALUE!</v>
      </c>
      <c r="F1" t="e">
        <f>AND(Sheet1!E12,"AAAAADq7uwU=")</f>
        <v>#VALUE!</v>
      </c>
      <c r="G1" t="e">
        <f>AND(Sheet1!#REF!,"AAAAADq7uwY=")</f>
        <v>#REF!</v>
      </c>
      <c r="H1" t="e">
        <f>AND(Sheet1!G12,"AAAAADq7uwc=")</f>
        <v>#VALUE!</v>
      </c>
      <c r="I1" t="e">
        <f>AND(Sheet1!I12,"AAAAADq7uwg=")</f>
        <v>#VALUE!</v>
      </c>
      <c r="J1" t="e">
        <f>AND(Sheet1!J12,"AAAAADq7uwk=")</f>
        <v>#VALUE!</v>
      </c>
      <c r="K1" t="e">
        <f>AND(Sheet1!K12,"AAAAADq7uwo=")</f>
        <v>#VALUE!</v>
      </c>
      <c r="L1" t="e">
        <f>AND(Sheet1!L12,"AAAAADq7uws=")</f>
        <v>#VALUE!</v>
      </c>
      <c r="M1" t="e">
        <f>AND(Sheet1!M12,"AAAAADq7uww=")</f>
        <v>#VALUE!</v>
      </c>
      <c r="N1" t="e">
        <f>AND(Sheet1!N12,"AAAAADq7uw0=")</f>
        <v>#VALUE!</v>
      </c>
      <c r="O1" t="e">
        <f>AND(Sheet1!O12,"AAAAADq7uw4=")</f>
        <v>#VALUE!</v>
      </c>
      <c r="P1" t="e">
        <f>AND(Sheet1!P12,"AAAAADq7uw8=")</f>
        <v>#VALUE!</v>
      </c>
      <c r="Q1" t="e">
        <f>AND(Sheet1!Q12,"AAAAADq7uxA=")</f>
        <v>#VALUE!</v>
      </c>
      <c r="R1" t="e">
        <f>AND(Sheet1!R12,"AAAAADq7uxE=")</f>
        <v>#VALUE!</v>
      </c>
      <c r="S1" t="e">
        <f>AND(Sheet1!S12,"AAAAADq7uxI=")</f>
        <v>#VALUE!</v>
      </c>
      <c r="T1" t="e">
        <f>AND(Sheet1!T12,"AAAAADq7uxM=")</f>
        <v>#VALUE!</v>
      </c>
      <c r="U1" t="e">
        <f>AND(Sheet1!U12,"AAAAADq7uxQ=")</f>
        <v>#VALUE!</v>
      </c>
      <c r="V1" t="e">
        <f>AND(Sheet1!V12,"AAAAADq7uxU=")</f>
        <v>#VALUE!</v>
      </c>
      <c r="W1" t="e">
        <f>AND(Sheet1!W12,"AAAAADq7uxY=")</f>
        <v>#VALUE!</v>
      </c>
      <c r="X1">
        <f>IF(Sheet1!6:6,"AAAAADq7uxc=",0)</f>
        <v>0</v>
      </c>
      <c r="Y1" t="e">
        <f>AND(Sheet1!A6,"AAAAADq7uxg=")</f>
        <v>#VALUE!</v>
      </c>
      <c r="Z1" t="e">
        <f>AND(Sheet1!B6,"AAAAADq7uxk=")</f>
        <v>#VALUE!</v>
      </c>
      <c r="AA1" t="e">
        <f>AND(Sheet1!C6,"AAAAADq7uxo=")</f>
        <v>#VALUE!</v>
      </c>
      <c r="AB1" t="e">
        <f>AND(Sheet1!D6,"AAAAADq7uxs=")</f>
        <v>#VALUE!</v>
      </c>
      <c r="AC1" t="e">
        <f>AND(Sheet1!E6,"AAAAADq7uxw=")</f>
        <v>#VALUE!</v>
      </c>
      <c r="AD1" t="e">
        <f>AND(Sheet1!#REF!,"AAAAADq7ux0=")</f>
        <v>#REF!</v>
      </c>
      <c r="AE1" t="e">
        <f>AND(Sheet1!G6,"AAAAADq7ux4=")</f>
        <v>#VALUE!</v>
      </c>
      <c r="AF1" t="e">
        <f>AND(Sheet1!I6,"AAAAADq7ux8=")</f>
        <v>#VALUE!</v>
      </c>
      <c r="AG1" t="e">
        <f>AND(Sheet1!J6,"AAAAADq7uyA=")</f>
        <v>#VALUE!</v>
      </c>
      <c r="AH1" t="e">
        <f>AND(Sheet1!K6,"AAAAADq7uyE=")</f>
        <v>#VALUE!</v>
      </c>
      <c r="AI1" t="e">
        <f>AND(Sheet1!L6,"AAAAADq7uyI=")</f>
        <v>#VALUE!</v>
      </c>
      <c r="AJ1" t="e">
        <f>AND(Sheet1!M6,"AAAAADq7uyM=")</f>
        <v>#VALUE!</v>
      </c>
      <c r="AK1" t="e">
        <f>AND(Sheet1!N6,"AAAAADq7uyQ=")</f>
        <v>#VALUE!</v>
      </c>
      <c r="AL1" t="e">
        <f>AND(Sheet1!O6,"AAAAADq7uyU=")</f>
        <v>#VALUE!</v>
      </c>
      <c r="AM1" t="e">
        <f>AND(Sheet1!P6,"AAAAADq7uyY=")</f>
        <v>#VALUE!</v>
      </c>
      <c r="AN1" t="e">
        <f>AND(Sheet1!Q6,"AAAAADq7uyc=")</f>
        <v>#VALUE!</v>
      </c>
      <c r="AO1" t="e">
        <f>AND(Sheet1!R6,"AAAAADq7uyg=")</f>
        <v>#VALUE!</v>
      </c>
      <c r="AP1" t="e">
        <f>AND(Sheet1!S6,"AAAAADq7uyk=")</f>
        <v>#VALUE!</v>
      </c>
      <c r="AQ1" t="e">
        <f>AND(Sheet1!T6,"AAAAADq7uyo=")</f>
        <v>#VALUE!</v>
      </c>
      <c r="AR1" t="e">
        <f>AND(Sheet1!U6,"AAAAADq7uys=")</f>
        <v>#VALUE!</v>
      </c>
      <c r="AS1" t="e">
        <f>AND(Sheet1!V6,"AAAAADq7uyw=")</f>
        <v>#VALUE!</v>
      </c>
      <c r="AT1" t="e">
        <f>AND(Sheet1!W6,"AAAAADq7uy0=")</f>
        <v>#VALUE!</v>
      </c>
      <c r="AU1">
        <f>IF(Sheet1!10:10,"AAAAADq7uy4=",0)</f>
        <v>0</v>
      </c>
      <c r="AV1" t="e">
        <f>AND(Sheet1!A10,"AAAAADq7uy8=")</f>
        <v>#VALUE!</v>
      </c>
      <c r="AW1" t="e">
        <f>AND(Sheet1!B10,"AAAAADq7uzA=")</f>
        <v>#VALUE!</v>
      </c>
      <c r="AX1" t="e">
        <f>AND(Sheet1!C10,"AAAAADq7uzE=")</f>
        <v>#VALUE!</v>
      </c>
      <c r="AY1" t="e">
        <f>AND(Sheet1!D10,"AAAAADq7uzI=")</f>
        <v>#VALUE!</v>
      </c>
      <c r="AZ1" t="e">
        <f>AND(Sheet1!E10,"AAAAADq7uzM=")</f>
        <v>#VALUE!</v>
      </c>
      <c r="BA1" t="e">
        <f>AND(Sheet1!#REF!,"AAAAADq7uzQ=")</f>
        <v>#REF!</v>
      </c>
      <c r="BB1" t="e">
        <f>AND(Sheet1!G10,"AAAAADq7uzU=")</f>
        <v>#VALUE!</v>
      </c>
      <c r="BC1" t="e">
        <f>AND(Sheet1!I10,"AAAAADq7uzY=")</f>
        <v>#VALUE!</v>
      </c>
      <c r="BD1" t="e">
        <f>AND(Sheet1!J10,"AAAAADq7uzc=")</f>
        <v>#VALUE!</v>
      </c>
      <c r="BE1" t="e">
        <f>AND(Sheet1!K10,"AAAAADq7uzg=")</f>
        <v>#VALUE!</v>
      </c>
      <c r="BF1" t="e">
        <f>AND(Sheet1!L10,"AAAAADq7uzk=")</f>
        <v>#VALUE!</v>
      </c>
      <c r="BG1" t="e">
        <f>AND(Sheet1!M10,"AAAAADq7uzo=")</f>
        <v>#VALUE!</v>
      </c>
      <c r="BH1" t="e">
        <f>AND(Sheet1!N10,"AAAAADq7uzs=")</f>
        <v>#VALUE!</v>
      </c>
      <c r="BI1" t="e">
        <f>AND(Sheet1!O10,"AAAAADq7uzw=")</f>
        <v>#VALUE!</v>
      </c>
      <c r="BJ1" t="e">
        <f>AND(Sheet1!P10,"AAAAADq7uz0=")</f>
        <v>#VALUE!</v>
      </c>
      <c r="BK1" t="e">
        <f>AND(Sheet1!Q10,"AAAAADq7uz4=")</f>
        <v>#VALUE!</v>
      </c>
      <c r="BL1" t="e">
        <f>AND(Sheet1!R10,"AAAAADq7uz8=")</f>
        <v>#VALUE!</v>
      </c>
      <c r="BM1" t="e">
        <f>AND(Sheet1!S10,"AAAAADq7u0A=")</f>
        <v>#VALUE!</v>
      </c>
      <c r="BN1" t="e">
        <f>AND(Sheet1!T10,"AAAAADq7u0E=")</f>
        <v>#VALUE!</v>
      </c>
      <c r="BO1" t="e">
        <f>AND(Sheet1!U10,"AAAAADq7u0I=")</f>
        <v>#VALUE!</v>
      </c>
      <c r="BP1" t="e">
        <f>AND(Sheet1!V10,"AAAAADq7u0M=")</f>
        <v>#VALUE!</v>
      </c>
      <c r="BQ1" t="e">
        <f>AND(Sheet1!W10,"AAAAADq7u0Q=")</f>
        <v>#VALUE!</v>
      </c>
      <c r="BR1">
        <f>IF(Sheet1!21:21,"AAAAADq7u0U=",0)</f>
        <v>0</v>
      </c>
      <c r="BS1" t="e">
        <f>AND(Sheet1!A21,"AAAAADq7u0Y=")</f>
        <v>#VALUE!</v>
      </c>
      <c r="BT1" t="e">
        <f>AND(Sheet1!B21,"AAAAADq7u0c=")</f>
        <v>#VALUE!</v>
      </c>
      <c r="BU1" t="e">
        <f>AND(Sheet1!C21,"AAAAADq7u0g=")</f>
        <v>#VALUE!</v>
      </c>
      <c r="BV1" t="e">
        <f>AND(Sheet1!D21,"AAAAADq7u0k=")</f>
        <v>#VALUE!</v>
      </c>
      <c r="BW1" t="e">
        <f>AND(Sheet1!E21,"AAAAADq7u0o=")</f>
        <v>#VALUE!</v>
      </c>
      <c r="BX1" t="e">
        <f>AND(Sheet1!#REF!,"AAAAADq7u0s=")</f>
        <v>#REF!</v>
      </c>
      <c r="BY1" t="e">
        <f>AND(Sheet1!G21,"AAAAADq7u0w=")</f>
        <v>#VALUE!</v>
      </c>
      <c r="BZ1" t="e">
        <f>AND(Sheet1!I21,"AAAAADq7u00=")</f>
        <v>#VALUE!</v>
      </c>
      <c r="CA1" t="e">
        <f>AND(Sheet1!J21,"AAAAADq7u04=")</f>
        <v>#VALUE!</v>
      </c>
      <c r="CB1" t="e">
        <f>AND(Sheet1!K21,"AAAAADq7u08=")</f>
        <v>#VALUE!</v>
      </c>
      <c r="CC1" t="e">
        <f>AND(Sheet1!L21,"AAAAADq7u1A=")</f>
        <v>#VALUE!</v>
      </c>
      <c r="CD1" t="e">
        <f>AND(Sheet1!M21,"AAAAADq7u1E=")</f>
        <v>#VALUE!</v>
      </c>
      <c r="CE1" t="e">
        <f>AND(Sheet1!N21,"AAAAADq7u1I=")</f>
        <v>#VALUE!</v>
      </c>
      <c r="CF1" t="e">
        <f>AND(Sheet1!O21,"AAAAADq7u1M=")</f>
        <v>#VALUE!</v>
      </c>
      <c r="CG1" t="e">
        <f>AND(Sheet1!P21,"AAAAADq7u1Q=")</f>
        <v>#VALUE!</v>
      </c>
      <c r="CH1" t="e">
        <f>AND(Sheet1!Q21,"AAAAADq7u1U=")</f>
        <v>#VALUE!</v>
      </c>
      <c r="CI1" t="e">
        <f>AND(Sheet1!R21,"AAAAADq7u1Y=")</f>
        <v>#VALUE!</v>
      </c>
      <c r="CJ1" t="e">
        <f>AND(Sheet1!S21,"AAAAADq7u1c=")</f>
        <v>#VALUE!</v>
      </c>
      <c r="CK1" t="e">
        <f>AND(Sheet1!T21,"AAAAADq7u1g=")</f>
        <v>#VALUE!</v>
      </c>
      <c r="CL1" t="e">
        <f>AND(Sheet1!U21,"AAAAADq7u1k=")</f>
        <v>#VALUE!</v>
      </c>
      <c r="CM1" t="e">
        <f>AND(Sheet1!V21,"AAAAADq7u1o=")</f>
        <v>#VALUE!</v>
      </c>
      <c r="CN1" t="e">
        <f>AND(Sheet1!W21,"AAAAADq7u1s=")</f>
        <v>#VALUE!</v>
      </c>
      <c r="CO1" t="e">
        <f>IF(Sheet1!#REF!,"AAAAADq7u1w=",0)</f>
        <v>#REF!</v>
      </c>
      <c r="CP1" t="e">
        <f>AND(Sheet1!#REF!,"AAAAADq7u10=")</f>
        <v>#REF!</v>
      </c>
      <c r="CQ1" t="e">
        <f>AND(Sheet1!#REF!,"AAAAADq7u14=")</f>
        <v>#REF!</v>
      </c>
      <c r="CR1" t="e">
        <f>AND(Sheet1!#REF!,"AAAAADq7u18=")</f>
        <v>#REF!</v>
      </c>
      <c r="CS1" t="e">
        <f>AND(Sheet1!#REF!,"AAAAADq7u2A=")</f>
        <v>#REF!</v>
      </c>
      <c r="CT1" t="e">
        <f>AND(Sheet1!#REF!,"AAAAADq7u2E=")</f>
        <v>#REF!</v>
      </c>
      <c r="CU1" t="e">
        <f>AND(Sheet1!#REF!,"AAAAADq7u2I=")</f>
        <v>#REF!</v>
      </c>
      <c r="CV1" t="e">
        <f>AND(Sheet1!#REF!,"AAAAADq7u2M=")</f>
        <v>#REF!</v>
      </c>
      <c r="CW1" t="e">
        <f>AND(Sheet1!#REF!,"AAAAADq7u2Q=")</f>
        <v>#REF!</v>
      </c>
      <c r="CX1" t="e">
        <f>AND(Sheet1!#REF!,"AAAAADq7u2U=")</f>
        <v>#REF!</v>
      </c>
      <c r="CY1" t="e">
        <f>AND(Sheet1!#REF!,"AAAAADq7u2Y=")</f>
        <v>#REF!</v>
      </c>
      <c r="CZ1" t="e">
        <f>AND(Sheet1!#REF!,"AAAAADq7u2c=")</f>
        <v>#REF!</v>
      </c>
      <c r="DA1" t="e">
        <f>AND(Sheet1!#REF!,"AAAAADq7u2g=")</f>
        <v>#REF!</v>
      </c>
      <c r="DB1" t="e">
        <f>AND(Sheet1!#REF!,"AAAAADq7u2k=")</f>
        <v>#REF!</v>
      </c>
      <c r="DC1" t="e">
        <f>AND(Sheet1!#REF!,"AAAAADq7u2o=")</f>
        <v>#REF!</v>
      </c>
      <c r="DD1" t="e">
        <f>AND(Sheet1!#REF!,"AAAAADq7u2s=")</f>
        <v>#REF!</v>
      </c>
      <c r="DE1" t="e">
        <f>AND(Sheet1!#REF!,"AAAAADq7u2w=")</f>
        <v>#REF!</v>
      </c>
      <c r="DF1" t="e">
        <f>AND(Sheet1!#REF!,"AAAAADq7u20=")</f>
        <v>#REF!</v>
      </c>
      <c r="DG1" t="e">
        <f>AND(Sheet1!#REF!,"AAAAADq7u24=")</f>
        <v>#REF!</v>
      </c>
      <c r="DH1" t="e">
        <f>AND(Sheet1!#REF!,"AAAAADq7u28=")</f>
        <v>#REF!</v>
      </c>
      <c r="DI1" t="e">
        <f>AND(Sheet1!#REF!,"AAAAADq7u3A=")</f>
        <v>#REF!</v>
      </c>
      <c r="DJ1" t="e">
        <f>AND(Sheet1!#REF!,"AAAAADq7u3E=")</f>
        <v>#REF!</v>
      </c>
      <c r="DK1" t="e">
        <f>AND(Sheet1!#REF!,"AAAAADq7u3I=")</f>
        <v>#REF!</v>
      </c>
      <c r="DL1">
        <f>IF(Sheet1!32:32,"AAAAADq7u3M=",0)</f>
        <v>0</v>
      </c>
      <c r="DM1" t="e">
        <f>AND(Sheet1!A32,"AAAAADq7u3Q=")</f>
        <v>#VALUE!</v>
      </c>
      <c r="DN1" t="e">
        <f>AND(Sheet1!B32,"AAAAADq7u3U=")</f>
        <v>#VALUE!</v>
      </c>
      <c r="DO1" t="e">
        <f>AND(Sheet1!C32,"AAAAADq7u3Y=")</f>
        <v>#VALUE!</v>
      </c>
      <c r="DP1" t="e">
        <f>AND(Sheet1!D32,"AAAAADq7u3c=")</f>
        <v>#VALUE!</v>
      </c>
      <c r="DQ1" t="e">
        <f>AND(Sheet1!E32,"AAAAADq7u3g=")</f>
        <v>#VALUE!</v>
      </c>
      <c r="DR1" t="e">
        <f>AND(Sheet1!#REF!,"AAAAADq7u3k=")</f>
        <v>#REF!</v>
      </c>
      <c r="DS1" t="e">
        <f>AND(Sheet1!G32,"AAAAADq7u3o=")</f>
        <v>#VALUE!</v>
      </c>
      <c r="DT1" t="e">
        <f>AND(Sheet1!I32,"AAAAADq7u3s=")</f>
        <v>#VALUE!</v>
      </c>
      <c r="DU1" t="e">
        <f>AND(Sheet1!J32,"AAAAADq7u3w=")</f>
        <v>#VALUE!</v>
      </c>
      <c r="DV1" t="e">
        <f>AND(Sheet1!K32,"AAAAADq7u30=")</f>
        <v>#VALUE!</v>
      </c>
      <c r="DW1" t="e">
        <f>AND(Sheet1!L32,"AAAAADq7u34=")</f>
        <v>#VALUE!</v>
      </c>
      <c r="DX1" t="e">
        <f>AND(Sheet1!M32,"AAAAADq7u38=")</f>
        <v>#VALUE!</v>
      </c>
      <c r="DY1" t="e">
        <f>AND(Sheet1!N32,"AAAAADq7u4A=")</f>
        <v>#VALUE!</v>
      </c>
      <c r="DZ1" t="e">
        <f>AND(Sheet1!O32,"AAAAADq7u4E=")</f>
        <v>#VALUE!</v>
      </c>
      <c r="EA1" t="e">
        <f>AND(Sheet1!P32,"AAAAADq7u4I=")</f>
        <v>#VALUE!</v>
      </c>
      <c r="EB1" t="e">
        <f>AND(Sheet1!Q32,"AAAAADq7u4M=")</f>
        <v>#VALUE!</v>
      </c>
      <c r="EC1" t="e">
        <f>AND(Sheet1!R32,"AAAAADq7u4Q=")</f>
        <v>#VALUE!</v>
      </c>
      <c r="ED1" t="e">
        <f>AND(Sheet1!S32,"AAAAADq7u4U=")</f>
        <v>#VALUE!</v>
      </c>
      <c r="EE1" t="e">
        <f>AND(Sheet1!T32,"AAAAADq7u4Y=")</f>
        <v>#VALUE!</v>
      </c>
      <c r="EF1" t="e">
        <f>AND(Sheet1!U32,"AAAAADq7u4c=")</f>
        <v>#VALUE!</v>
      </c>
      <c r="EG1" t="e">
        <f>AND(Sheet1!V32,"AAAAADq7u4g=")</f>
        <v>#VALUE!</v>
      </c>
      <c r="EH1" t="e">
        <f>AND(Sheet1!W32,"AAAAADq7u4k=")</f>
        <v>#VALUE!</v>
      </c>
      <c r="EI1">
        <f>IF(Sheet1!29:29,"AAAAADq7u4o=",0)</f>
        <v>0</v>
      </c>
      <c r="EJ1" t="e">
        <f>AND(Sheet1!A29,"AAAAADq7u4s=")</f>
        <v>#VALUE!</v>
      </c>
      <c r="EK1" t="e">
        <f>AND(Sheet1!B29,"AAAAADq7u4w=")</f>
        <v>#VALUE!</v>
      </c>
      <c r="EL1" t="e">
        <f>AND(Sheet1!C29,"AAAAADq7u40=")</f>
        <v>#VALUE!</v>
      </c>
      <c r="EM1" t="e">
        <f>AND(Sheet1!D29,"AAAAADq7u44=")</f>
        <v>#VALUE!</v>
      </c>
      <c r="EN1" t="e">
        <f>AND(Sheet1!E29,"AAAAADq7u48=")</f>
        <v>#VALUE!</v>
      </c>
      <c r="EO1" t="e">
        <f>AND(Sheet1!#REF!,"AAAAADq7u5A=")</f>
        <v>#REF!</v>
      </c>
      <c r="EP1" t="e">
        <f>AND(Sheet1!G29,"AAAAADq7u5E=")</f>
        <v>#VALUE!</v>
      </c>
      <c r="EQ1" t="e">
        <f>AND(Sheet1!I29,"AAAAADq7u5I=")</f>
        <v>#VALUE!</v>
      </c>
      <c r="ER1" t="e">
        <f>AND(Sheet1!J29,"AAAAADq7u5M=")</f>
        <v>#VALUE!</v>
      </c>
      <c r="ES1" t="e">
        <f>AND(Sheet1!K29,"AAAAADq7u5Q=")</f>
        <v>#VALUE!</v>
      </c>
      <c r="ET1" t="e">
        <f>AND(Sheet1!L29,"AAAAADq7u5U=")</f>
        <v>#VALUE!</v>
      </c>
      <c r="EU1" t="e">
        <f>AND(Sheet1!M29,"AAAAADq7u5Y=")</f>
        <v>#VALUE!</v>
      </c>
      <c r="EV1" t="e">
        <f>AND(Sheet1!N29,"AAAAADq7u5c=")</f>
        <v>#VALUE!</v>
      </c>
      <c r="EW1" t="e">
        <f>AND(Sheet1!O29,"AAAAADq7u5g=")</f>
        <v>#VALUE!</v>
      </c>
      <c r="EX1" t="e">
        <f>AND(Sheet1!P29,"AAAAADq7u5k=")</f>
        <v>#VALUE!</v>
      </c>
      <c r="EY1" t="e">
        <f>AND(Sheet1!Q29,"AAAAADq7u5o=")</f>
        <v>#VALUE!</v>
      </c>
      <c r="EZ1" t="e">
        <f>AND(Sheet1!R29,"AAAAADq7u5s=")</f>
        <v>#VALUE!</v>
      </c>
      <c r="FA1" t="e">
        <f>AND(Sheet1!S29,"AAAAADq7u5w=")</f>
        <v>#VALUE!</v>
      </c>
      <c r="FB1" t="e">
        <f>AND(Sheet1!T29,"AAAAADq7u50=")</f>
        <v>#VALUE!</v>
      </c>
      <c r="FC1" t="e">
        <f>AND(Sheet1!U29,"AAAAADq7u54=")</f>
        <v>#VALUE!</v>
      </c>
      <c r="FD1" t="e">
        <f>AND(Sheet1!V29,"AAAAADq7u58=")</f>
        <v>#VALUE!</v>
      </c>
      <c r="FE1" t="e">
        <f>AND(Sheet1!W29,"AAAAADq7u6A=")</f>
        <v>#VALUE!</v>
      </c>
      <c r="FF1">
        <f>IF(Sheet1!15:15,"AAAAADq7u6E=",0)</f>
        <v>0</v>
      </c>
      <c r="FG1" t="e">
        <f>AND(Sheet1!A15,"AAAAADq7u6I=")</f>
        <v>#VALUE!</v>
      </c>
      <c r="FH1" t="e">
        <f>AND(Sheet1!B15,"AAAAADq7u6M=")</f>
        <v>#VALUE!</v>
      </c>
      <c r="FI1" t="e">
        <f>AND(Sheet1!C15,"AAAAADq7u6Q=")</f>
        <v>#VALUE!</v>
      </c>
      <c r="FJ1" t="e">
        <f>AND(Sheet1!D15,"AAAAADq7u6U=")</f>
        <v>#VALUE!</v>
      </c>
      <c r="FK1" t="e">
        <f>AND(Sheet1!E15,"AAAAADq7u6Y=")</f>
        <v>#VALUE!</v>
      </c>
      <c r="FL1" t="e">
        <f>AND(Sheet1!#REF!,"AAAAADq7u6c=")</f>
        <v>#REF!</v>
      </c>
      <c r="FM1" t="e">
        <f>AND(Sheet1!G15,"AAAAADq7u6g=")</f>
        <v>#VALUE!</v>
      </c>
      <c r="FN1" t="e">
        <f>AND(Sheet1!I15,"AAAAADq7u6k=")</f>
        <v>#VALUE!</v>
      </c>
      <c r="FO1" t="e">
        <f>AND(Sheet1!J15,"AAAAADq7u6o=")</f>
        <v>#VALUE!</v>
      </c>
      <c r="FP1" t="e">
        <f>AND(Sheet1!K15,"AAAAADq7u6s=")</f>
        <v>#VALUE!</v>
      </c>
      <c r="FQ1" t="e">
        <f>AND(Sheet1!L15,"AAAAADq7u6w=")</f>
        <v>#VALUE!</v>
      </c>
      <c r="FR1" t="e">
        <f>AND(Sheet1!M15,"AAAAADq7u60=")</f>
        <v>#VALUE!</v>
      </c>
      <c r="FS1" t="e">
        <f>AND(Sheet1!N15,"AAAAADq7u64=")</f>
        <v>#VALUE!</v>
      </c>
      <c r="FT1" t="e">
        <f>AND(Sheet1!O15,"AAAAADq7u68=")</f>
        <v>#VALUE!</v>
      </c>
      <c r="FU1" t="e">
        <f>AND(Sheet1!P15,"AAAAADq7u7A=")</f>
        <v>#VALUE!</v>
      </c>
      <c r="FV1" t="e">
        <f>AND(Sheet1!Q15,"AAAAADq7u7E=")</f>
        <v>#VALUE!</v>
      </c>
      <c r="FW1" t="e">
        <f>AND(Sheet1!R15,"AAAAADq7u7I=")</f>
        <v>#VALUE!</v>
      </c>
      <c r="FX1" t="e">
        <f>AND(Sheet1!S15,"AAAAADq7u7M=")</f>
        <v>#VALUE!</v>
      </c>
      <c r="FY1" t="e">
        <f>AND(Sheet1!T15,"AAAAADq7u7Q=")</f>
        <v>#VALUE!</v>
      </c>
      <c r="FZ1" t="e">
        <f>AND(Sheet1!U15,"AAAAADq7u7U=")</f>
        <v>#VALUE!</v>
      </c>
      <c r="GA1" t="e">
        <f>AND(Sheet1!V15,"AAAAADq7u7Y=")</f>
        <v>#VALUE!</v>
      </c>
      <c r="GB1" t="e">
        <f>AND(Sheet1!W15,"AAAAADq7u7c=")</f>
        <v>#VALUE!</v>
      </c>
      <c r="GC1">
        <f>IF(Sheet1!18:18,"AAAAADq7u7g=",0)</f>
        <v>0</v>
      </c>
      <c r="GD1" t="e">
        <f>AND(Sheet1!A18,"AAAAADq7u7k=")</f>
        <v>#VALUE!</v>
      </c>
      <c r="GE1" t="e">
        <f>AND(Sheet1!B18,"AAAAADq7u7o=")</f>
        <v>#VALUE!</v>
      </c>
      <c r="GF1" t="e">
        <f>AND(Sheet1!C18,"AAAAADq7u7s=")</f>
        <v>#VALUE!</v>
      </c>
      <c r="GG1" t="e">
        <f>AND(Sheet1!D18,"AAAAADq7u7w=")</f>
        <v>#VALUE!</v>
      </c>
      <c r="GH1" t="e">
        <f>AND(Sheet1!E18,"AAAAADq7u70=")</f>
        <v>#VALUE!</v>
      </c>
      <c r="GI1" t="e">
        <f>AND(Sheet1!#REF!,"AAAAADq7u74=")</f>
        <v>#REF!</v>
      </c>
      <c r="GJ1" t="e">
        <f>AND(Sheet1!G18,"AAAAADq7u78=")</f>
        <v>#VALUE!</v>
      </c>
      <c r="GK1" t="e">
        <f>AND(Sheet1!I18,"AAAAADq7u8A=")</f>
        <v>#VALUE!</v>
      </c>
      <c r="GL1" t="e">
        <f>AND(Sheet1!J18,"AAAAADq7u8E=")</f>
        <v>#VALUE!</v>
      </c>
      <c r="GM1" t="e">
        <f>AND(Sheet1!K18,"AAAAADq7u8I=")</f>
        <v>#VALUE!</v>
      </c>
      <c r="GN1" t="e">
        <f>AND(Sheet1!L18,"AAAAADq7u8M=")</f>
        <v>#VALUE!</v>
      </c>
      <c r="GO1" t="e">
        <f>AND(Sheet1!M18,"AAAAADq7u8Q=")</f>
        <v>#VALUE!</v>
      </c>
      <c r="GP1" t="e">
        <f>AND(Sheet1!N18,"AAAAADq7u8U=")</f>
        <v>#VALUE!</v>
      </c>
      <c r="GQ1" t="e">
        <f>AND(Sheet1!O18,"AAAAADq7u8Y=")</f>
        <v>#VALUE!</v>
      </c>
      <c r="GR1" t="e">
        <f>AND(Sheet1!P18,"AAAAADq7u8c=")</f>
        <v>#VALUE!</v>
      </c>
      <c r="GS1" t="e">
        <f>AND(Sheet1!Q18,"AAAAADq7u8g=")</f>
        <v>#VALUE!</v>
      </c>
      <c r="GT1" t="e">
        <f>AND(Sheet1!R18,"AAAAADq7u8k=")</f>
        <v>#VALUE!</v>
      </c>
      <c r="GU1" t="e">
        <f>AND(Sheet1!S18,"AAAAADq7u8o=")</f>
        <v>#VALUE!</v>
      </c>
      <c r="GV1" t="e">
        <f>AND(Sheet1!T18,"AAAAADq7u8s=")</f>
        <v>#VALUE!</v>
      </c>
      <c r="GW1" t="e">
        <f>AND(Sheet1!U18,"AAAAADq7u8w=")</f>
        <v>#VALUE!</v>
      </c>
      <c r="GX1" t="e">
        <f>AND(Sheet1!V18,"AAAAADq7u80=")</f>
        <v>#VALUE!</v>
      </c>
      <c r="GY1" t="e">
        <f>AND(Sheet1!W18,"AAAAADq7u84=")</f>
        <v>#VALUE!</v>
      </c>
      <c r="GZ1" t="e">
        <f>IF(Sheet1!#REF!,"AAAAADq7u88=",0)</f>
        <v>#REF!</v>
      </c>
      <c r="HA1" t="e">
        <f>AND(Sheet1!#REF!,"AAAAADq7u9A=")</f>
        <v>#REF!</v>
      </c>
      <c r="HB1" t="e">
        <f>AND(Sheet1!#REF!,"AAAAADq7u9E=")</f>
        <v>#REF!</v>
      </c>
      <c r="HC1" t="e">
        <f>AND(Sheet1!#REF!,"AAAAADq7u9I=")</f>
        <v>#REF!</v>
      </c>
      <c r="HD1" t="e">
        <f>AND(Sheet1!#REF!,"AAAAADq7u9M=")</f>
        <v>#REF!</v>
      </c>
      <c r="HE1" t="e">
        <f>AND(Sheet1!#REF!,"AAAAADq7u9Q=")</f>
        <v>#REF!</v>
      </c>
      <c r="HF1" t="e">
        <f>AND(Sheet1!#REF!,"AAAAADq7u9U=")</f>
        <v>#REF!</v>
      </c>
      <c r="HG1" t="e">
        <f>AND(Sheet1!#REF!,"AAAAADq7u9Y=")</f>
        <v>#REF!</v>
      </c>
      <c r="HH1" t="e">
        <f>AND(Sheet1!#REF!,"AAAAADq7u9c=")</f>
        <v>#REF!</v>
      </c>
      <c r="HI1" t="e">
        <f>AND(Sheet1!#REF!,"AAAAADq7u9g=")</f>
        <v>#REF!</v>
      </c>
      <c r="HJ1" t="e">
        <f>AND(Sheet1!#REF!,"AAAAADq7u9k=")</f>
        <v>#REF!</v>
      </c>
      <c r="HK1" t="e">
        <f>AND(Sheet1!#REF!,"AAAAADq7u9o=")</f>
        <v>#REF!</v>
      </c>
      <c r="HL1" t="e">
        <f>AND(Sheet1!#REF!,"AAAAADq7u9s=")</f>
        <v>#REF!</v>
      </c>
      <c r="HM1" t="e">
        <f>AND(Sheet1!#REF!,"AAAAADq7u9w=")</f>
        <v>#REF!</v>
      </c>
      <c r="HN1" t="e">
        <f>AND(Sheet1!#REF!,"AAAAADq7u90=")</f>
        <v>#REF!</v>
      </c>
      <c r="HO1" t="e">
        <f>AND(Sheet1!#REF!,"AAAAADq7u94=")</f>
        <v>#REF!</v>
      </c>
      <c r="HP1" t="e">
        <f>AND(Sheet1!#REF!,"AAAAADq7u98=")</f>
        <v>#REF!</v>
      </c>
      <c r="HQ1" t="e">
        <f>AND(Sheet1!#REF!,"AAAAADq7u+A=")</f>
        <v>#REF!</v>
      </c>
      <c r="HR1" t="e">
        <f>AND(Sheet1!#REF!,"AAAAADq7u+E=")</f>
        <v>#REF!</v>
      </c>
      <c r="HS1" t="e">
        <f>AND(Sheet1!#REF!,"AAAAADq7u+I=")</f>
        <v>#REF!</v>
      </c>
      <c r="HT1" t="e">
        <f>AND(Sheet1!#REF!,"AAAAADq7u+M=")</f>
        <v>#REF!</v>
      </c>
      <c r="HU1" t="e">
        <f>AND(Sheet1!#REF!,"AAAAADq7u+Q=")</f>
        <v>#REF!</v>
      </c>
      <c r="HV1" t="e">
        <f>AND(Sheet1!#REF!,"AAAAADq7u+U=")</f>
        <v>#REF!</v>
      </c>
      <c r="HW1">
        <f>IF(Sheet1!60:60,"AAAAADq7u+Y=",0)</f>
        <v>0</v>
      </c>
      <c r="HX1" t="e">
        <f>AND(Sheet1!A60,"AAAAADq7u+c=")</f>
        <v>#VALUE!</v>
      </c>
      <c r="HY1" t="e">
        <f>AND(Sheet1!B60,"AAAAADq7u+g=")</f>
        <v>#VALUE!</v>
      </c>
      <c r="HZ1" t="e">
        <f>AND(Sheet1!C60,"AAAAADq7u+k=")</f>
        <v>#VALUE!</v>
      </c>
      <c r="IA1" t="e">
        <f>AND(Sheet1!D60,"AAAAADq7u+o=")</f>
        <v>#VALUE!</v>
      </c>
      <c r="IB1" t="e">
        <f>AND(Sheet1!E60,"AAAAADq7u+s=")</f>
        <v>#VALUE!</v>
      </c>
      <c r="IC1" t="e">
        <f>AND(Sheet1!#REF!,"AAAAADq7u+w=")</f>
        <v>#REF!</v>
      </c>
      <c r="ID1" t="e">
        <f>AND(Sheet1!G60,"AAAAADq7u+0=")</f>
        <v>#VALUE!</v>
      </c>
      <c r="IE1" t="e">
        <f>AND(Sheet1!I60,"AAAAADq7u+4=")</f>
        <v>#VALUE!</v>
      </c>
      <c r="IF1" t="e">
        <f>AND(Sheet1!J60,"AAAAADq7u+8=")</f>
        <v>#VALUE!</v>
      </c>
      <c r="IG1" t="e">
        <f>AND(Sheet1!K60,"AAAAADq7u/A=")</f>
        <v>#VALUE!</v>
      </c>
      <c r="IH1" t="e">
        <f>AND(Sheet1!L60,"AAAAADq7u/E=")</f>
        <v>#VALUE!</v>
      </c>
      <c r="II1" t="e">
        <f>AND(Sheet1!M60,"AAAAADq7u/I=")</f>
        <v>#VALUE!</v>
      </c>
      <c r="IJ1" t="e">
        <f>AND(Sheet1!N60,"AAAAADq7u/M=")</f>
        <v>#VALUE!</v>
      </c>
      <c r="IK1" t="e">
        <f>AND(Sheet1!O60,"AAAAADq7u/Q=")</f>
        <v>#VALUE!</v>
      </c>
      <c r="IL1" t="e">
        <f>AND(Sheet1!P60,"AAAAADq7u/U=")</f>
        <v>#VALUE!</v>
      </c>
      <c r="IM1" t="e">
        <f>AND(Sheet1!Q60,"AAAAADq7u/Y=")</f>
        <v>#VALUE!</v>
      </c>
      <c r="IN1" t="e">
        <f>AND(Sheet1!R60,"AAAAADq7u/c=")</f>
        <v>#VALUE!</v>
      </c>
      <c r="IO1" t="e">
        <f>AND(Sheet1!S60,"AAAAADq7u/g=")</f>
        <v>#VALUE!</v>
      </c>
      <c r="IP1" t="e">
        <f>AND(Sheet1!T60,"AAAAADq7u/k=")</f>
        <v>#VALUE!</v>
      </c>
      <c r="IQ1" t="e">
        <f>AND(Sheet1!U60,"AAAAADq7u/o=")</f>
        <v>#VALUE!</v>
      </c>
      <c r="IR1" t="e">
        <f>AND(Sheet1!V60,"AAAAADq7u/s=")</f>
        <v>#VALUE!</v>
      </c>
      <c r="IS1" t="e">
        <f>AND(Sheet1!W60,"AAAAADq7u/w=")</f>
        <v>#VALUE!</v>
      </c>
      <c r="IT1">
        <f>IF(Sheet1!62:62,"AAAAADq7u/0=",0)</f>
        <v>0</v>
      </c>
      <c r="IU1" t="e">
        <f>AND(Sheet1!A62,"AAAAADq7u/4=")</f>
        <v>#VALUE!</v>
      </c>
      <c r="IV1" t="e">
        <f>AND(Sheet1!B62,"AAAAADq7u/8=")</f>
        <v>#VALUE!</v>
      </c>
    </row>
    <row r="2" spans="1:256" ht="12.75">
      <c r="A2" t="e">
        <f>AND(Sheet1!C62,"AAAAAB3b/wA=")</f>
        <v>#VALUE!</v>
      </c>
      <c r="B2" t="e">
        <f>AND(Sheet1!D62,"AAAAAB3b/wE=")</f>
        <v>#VALUE!</v>
      </c>
      <c r="C2" t="e">
        <f>AND(Sheet1!E62,"AAAAAB3b/wI=")</f>
        <v>#VALUE!</v>
      </c>
      <c r="D2" t="e">
        <f>AND(Sheet1!#REF!,"AAAAAB3b/wM=")</f>
        <v>#REF!</v>
      </c>
      <c r="E2" t="e">
        <f>AND(Sheet1!G62,"AAAAAB3b/wQ=")</f>
        <v>#VALUE!</v>
      </c>
      <c r="F2" t="e">
        <f>AND(Sheet1!I62,"AAAAAB3b/wU=")</f>
        <v>#VALUE!</v>
      </c>
      <c r="G2" t="e">
        <f>AND(Sheet1!J62,"AAAAAB3b/wY=")</f>
        <v>#VALUE!</v>
      </c>
      <c r="H2" t="e">
        <f>AND(Sheet1!K62,"AAAAAB3b/wc=")</f>
        <v>#VALUE!</v>
      </c>
      <c r="I2" t="e">
        <f>AND(Sheet1!L62,"AAAAAB3b/wg=")</f>
        <v>#VALUE!</v>
      </c>
      <c r="J2" t="e">
        <f>AND(Sheet1!M62,"AAAAAB3b/wk=")</f>
        <v>#VALUE!</v>
      </c>
      <c r="K2" t="e">
        <f>AND(Sheet1!N62,"AAAAAB3b/wo=")</f>
        <v>#VALUE!</v>
      </c>
      <c r="L2" t="e">
        <f>AND(Sheet1!O62,"AAAAAB3b/ws=")</f>
        <v>#VALUE!</v>
      </c>
      <c r="M2" t="e">
        <f>AND(Sheet1!P62,"AAAAAB3b/ww=")</f>
        <v>#VALUE!</v>
      </c>
      <c r="N2" t="e">
        <f>AND(Sheet1!Q62,"AAAAAB3b/w0=")</f>
        <v>#VALUE!</v>
      </c>
      <c r="O2" t="e">
        <f>AND(Sheet1!R62,"AAAAAB3b/w4=")</f>
        <v>#VALUE!</v>
      </c>
      <c r="P2" t="e">
        <f>AND(Sheet1!S62,"AAAAAB3b/w8=")</f>
        <v>#VALUE!</v>
      </c>
      <c r="Q2" t="e">
        <f>AND(Sheet1!T62,"AAAAAB3b/xA=")</f>
        <v>#VALUE!</v>
      </c>
      <c r="R2" t="e">
        <f>AND(Sheet1!U62,"AAAAAB3b/xE=")</f>
        <v>#VALUE!</v>
      </c>
      <c r="S2" t="e">
        <f>AND(Sheet1!V62,"AAAAAB3b/xI=")</f>
        <v>#VALUE!</v>
      </c>
      <c r="T2" t="e">
        <f>AND(Sheet1!W62,"AAAAAB3b/xM=")</f>
        <v>#VALUE!</v>
      </c>
      <c r="U2">
        <f>IF(Sheet1!82:82,"AAAAAB3b/xQ=",0)</f>
        <v>0</v>
      </c>
      <c r="V2" t="e">
        <f>AND(Sheet1!A82,"AAAAAB3b/xU=")</f>
        <v>#VALUE!</v>
      </c>
      <c r="W2" t="e">
        <f>AND(Sheet1!B82,"AAAAAB3b/xY=")</f>
        <v>#VALUE!</v>
      </c>
      <c r="X2" t="e">
        <f>AND(Sheet1!C82,"AAAAAB3b/xc=")</f>
        <v>#VALUE!</v>
      </c>
      <c r="Y2" t="e">
        <f>AND(Sheet1!D82,"AAAAAB3b/xg=")</f>
        <v>#VALUE!</v>
      </c>
      <c r="Z2" t="e">
        <f>AND(Sheet1!E82,"AAAAAB3b/xk=")</f>
        <v>#VALUE!</v>
      </c>
      <c r="AA2" t="e">
        <f>AND(Sheet1!#REF!,"AAAAAB3b/xo=")</f>
        <v>#REF!</v>
      </c>
      <c r="AB2" t="e">
        <f>AND(Sheet1!G82,"AAAAAB3b/xs=")</f>
        <v>#VALUE!</v>
      </c>
      <c r="AC2" t="e">
        <f>AND(Sheet1!I82,"AAAAAB3b/xw=")</f>
        <v>#VALUE!</v>
      </c>
      <c r="AD2" t="e">
        <f>AND(Sheet1!J82,"AAAAAB3b/x0=")</f>
        <v>#VALUE!</v>
      </c>
      <c r="AE2" t="e">
        <f>AND(Sheet1!K82,"AAAAAB3b/x4=")</f>
        <v>#VALUE!</v>
      </c>
      <c r="AF2" t="e">
        <f>AND(Sheet1!L82,"AAAAAB3b/x8=")</f>
        <v>#VALUE!</v>
      </c>
      <c r="AG2" t="e">
        <f>AND(Sheet1!M82,"AAAAAB3b/yA=")</f>
        <v>#VALUE!</v>
      </c>
      <c r="AH2" t="e">
        <f>AND(Sheet1!N82,"AAAAAB3b/yE=")</f>
        <v>#VALUE!</v>
      </c>
      <c r="AI2" t="e">
        <f>AND(Sheet1!O82,"AAAAAB3b/yI=")</f>
        <v>#VALUE!</v>
      </c>
      <c r="AJ2" t="e">
        <f>AND(Sheet1!P82,"AAAAAB3b/yM=")</f>
        <v>#VALUE!</v>
      </c>
      <c r="AK2" t="e">
        <f>AND(Sheet1!Q82,"AAAAAB3b/yQ=")</f>
        <v>#VALUE!</v>
      </c>
      <c r="AL2" t="e">
        <f>AND(Sheet1!R82,"AAAAAB3b/yU=")</f>
        <v>#VALUE!</v>
      </c>
      <c r="AM2" t="e">
        <f>AND(Sheet1!S82,"AAAAAB3b/yY=")</f>
        <v>#VALUE!</v>
      </c>
      <c r="AN2" t="e">
        <f>AND(Sheet1!T82,"AAAAAB3b/yc=")</f>
        <v>#VALUE!</v>
      </c>
      <c r="AO2" t="e">
        <f>AND(Sheet1!U82,"AAAAAB3b/yg=")</f>
        <v>#VALUE!</v>
      </c>
      <c r="AP2" t="e">
        <f>AND(Sheet1!V82,"AAAAAB3b/yk=")</f>
        <v>#VALUE!</v>
      </c>
      <c r="AQ2" t="e">
        <f>AND(Sheet1!W82,"AAAAAB3b/yo=")</f>
        <v>#VALUE!</v>
      </c>
      <c r="AR2" t="e">
        <f>IF(Sheet1!#REF!,"AAAAAB3b/ys=",0)</f>
        <v>#REF!</v>
      </c>
      <c r="AS2" t="e">
        <f>AND(Sheet1!#REF!,"AAAAAB3b/yw=")</f>
        <v>#REF!</v>
      </c>
      <c r="AT2" t="e">
        <f>AND(Sheet1!#REF!,"AAAAAB3b/y0=")</f>
        <v>#REF!</v>
      </c>
      <c r="AU2" t="e">
        <f>AND(Sheet1!#REF!,"AAAAAB3b/y4=")</f>
        <v>#REF!</v>
      </c>
      <c r="AV2" t="e">
        <f>AND(Sheet1!#REF!,"AAAAAB3b/y8=")</f>
        <v>#REF!</v>
      </c>
      <c r="AW2" t="e">
        <f>AND(Sheet1!#REF!,"AAAAAB3b/zA=")</f>
        <v>#REF!</v>
      </c>
      <c r="AX2" t="e">
        <f>AND(Sheet1!#REF!,"AAAAAB3b/zE=")</f>
        <v>#REF!</v>
      </c>
      <c r="AY2" t="e">
        <f>AND(Sheet1!#REF!,"AAAAAB3b/zI=")</f>
        <v>#REF!</v>
      </c>
      <c r="AZ2" t="e">
        <f>AND(Sheet1!#REF!,"AAAAAB3b/zM=")</f>
        <v>#REF!</v>
      </c>
      <c r="BA2" t="e">
        <f>AND(Sheet1!#REF!,"AAAAAB3b/zQ=")</f>
        <v>#REF!</v>
      </c>
      <c r="BB2" t="e">
        <f>AND(Sheet1!#REF!,"AAAAAB3b/zU=")</f>
        <v>#REF!</v>
      </c>
      <c r="BC2" t="e">
        <f>AND(Sheet1!#REF!,"AAAAAB3b/zY=")</f>
        <v>#REF!</v>
      </c>
      <c r="BD2" t="e">
        <f>AND(Sheet1!#REF!,"AAAAAB3b/zc=")</f>
        <v>#REF!</v>
      </c>
      <c r="BE2" t="e">
        <f>AND(Sheet1!#REF!,"AAAAAB3b/zg=")</f>
        <v>#REF!</v>
      </c>
      <c r="BF2" t="e">
        <f>AND(Sheet1!#REF!,"AAAAAB3b/zk=")</f>
        <v>#REF!</v>
      </c>
      <c r="BG2" t="e">
        <f>AND(Sheet1!#REF!,"AAAAAB3b/zo=")</f>
        <v>#REF!</v>
      </c>
      <c r="BH2" t="e">
        <f>AND(Sheet1!#REF!,"AAAAAB3b/zs=")</f>
        <v>#REF!</v>
      </c>
      <c r="BI2" t="e">
        <f>AND(Sheet1!#REF!,"AAAAAB3b/zw=")</f>
        <v>#REF!</v>
      </c>
      <c r="BJ2" t="e">
        <f>AND(Sheet1!#REF!,"AAAAAB3b/z0=")</f>
        <v>#REF!</v>
      </c>
      <c r="BK2" t="e">
        <f>AND(Sheet1!#REF!,"AAAAAB3b/z4=")</f>
        <v>#REF!</v>
      </c>
      <c r="BL2" t="e">
        <f>AND(Sheet1!#REF!,"AAAAAB3b/z8=")</f>
        <v>#REF!</v>
      </c>
      <c r="BM2" t="e">
        <f>AND(Sheet1!#REF!,"AAAAAB3b/0A=")</f>
        <v>#REF!</v>
      </c>
      <c r="BN2" t="e">
        <f>AND(Sheet1!#REF!,"AAAAAB3b/0E=")</f>
        <v>#REF!</v>
      </c>
      <c r="BO2">
        <f>IF(Sheet1!83:83,"AAAAAB3b/0I=",0)</f>
        <v>0</v>
      </c>
      <c r="BP2" t="e">
        <f>AND(Sheet1!A83,"AAAAAB3b/0M=")</f>
        <v>#VALUE!</v>
      </c>
      <c r="BQ2" t="e">
        <f>AND(Sheet1!B83,"AAAAAB3b/0Q=")</f>
        <v>#VALUE!</v>
      </c>
      <c r="BR2" t="e">
        <f>AND(Sheet1!C83,"AAAAAB3b/0U=")</f>
        <v>#VALUE!</v>
      </c>
      <c r="BS2" t="e">
        <f>AND(Sheet1!D83,"AAAAAB3b/0Y=")</f>
        <v>#VALUE!</v>
      </c>
      <c r="BT2" t="e">
        <f>AND(Sheet1!E83,"AAAAAB3b/0c=")</f>
        <v>#VALUE!</v>
      </c>
      <c r="BU2" t="e">
        <f>AND(Sheet1!#REF!,"AAAAAB3b/0g=")</f>
        <v>#REF!</v>
      </c>
      <c r="BV2" t="e">
        <f>AND(Sheet1!G83,"AAAAAB3b/0k=")</f>
        <v>#VALUE!</v>
      </c>
      <c r="BW2" t="e">
        <f>AND(Sheet1!I83,"AAAAAB3b/0o=")</f>
        <v>#VALUE!</v>
      </c>
      <c r="BX2" t="e">
        <f>AND(Sheet1!J83,"AAAAAB3b/0s=")</f>
        <v>#VALUE!</v>
      </c>
      <c r="BY2" t="e">
        <f>AND(Sheet1!K83,"AAAAAB3b/0w=")</f>
        <v>#VALUE!</v>
      </c>
      <c r="BZ2" t="e">
        <f>AND(Sheet1!L83,"AAAAAB3b/00=")</f>
        <v>#VALUE!</v>
      </c>
      <c r="CA2" t="e">
        <f>AND(Sheet1!M83,"AAAAAB3b/04=")</f>
        <v>#VALUE!</v>
      </c>
      <c r="CB2" t="e">
        <f>AND(Sheet1!N83,"AAAAAB3b/08=")</f>
        <v>#VALUE!</v>
      </c>
      <c r="CC2" t="e">
        <f>AND(Sheet1!O83,"AAAAAB3b/1A=")</f>
        <v>#VALUE!</v>
      </c>
      <c r="CD2" t="e">
        <f>AND(Sheet1!P83,"AAAAAB3b/1E=")</f>
        <v>#VALUE!</v>
      </c>
      <c r="CE2" t="e">
        <f>AND(Sheet1!Q83,"AAAAAB3b/1I=")</f>
        <v>#VALUE!</v>
      </c>
      <c r="CF2" t="e">
        <f>AND(Sheet1!R83,"AAAAAB3b/1M=")</f>
        <v>#VALUE!</v>
      </c>
      <c r="CG2" t="e">
        <f>AND(Sheet1!S83,"AAAAAB3b/1Q=")</f>
        <v>#VALUE!</v>
      </c>
      <c r="CH2" t="e">
        <f>AND(Sheet1!T83,"AAAAAB3b/1U=")</f>
        <v>#VALUE!</v>
      </c>
      <c r="CI2" t="e">
        <f>AND(Sheet1!U83,"AAAAAB3b/1Y=")</f>
        <v>#VALUE!</v>
      </c>
      <c r="CJ2" t="e">
        <f>AND(Sheet1!V83,"AAAAAB3b/1c=")</f>
        <v>#VALUE!</v>
      </c>
      <c r="CK2" t="e">
        <f>AND(Sheet1!W83,"AAAAAB3b/1g=")</f>
        <v>#VALUE!</v>
      </c>
      <c r="CL2" t="e">
        <f>IF(Sheet1!#REF!,"AAAAAB3b/1k=",0)</f>
        <v>#REF!</v>
      </c>
      <c r="CM2" t="e">
        <f>AND(Sheet1!#REF!,"AAAAAB3b/1o=")</f>
        <v>#REF!</v>
      </c>
      <c r="CN2" t="e">
        <f>AND(Sheet1!#REF!,"AAAAAB3b/1s=")</f>
        <v>#REF!</v>
      </c>
      <c r="CO2" t="e">
        <f>AND(Sheet1!#REF!,"AAAAAB3b/1w=")</f>
        <v>#REF!</v>
      </c>
      <c r="CP2" t="e">
        <f>AND(Sheet1!#REF!,"AAAAAB3b/10=")</f>
        <v>#REF!</v>
      </c>
      <c r="CQ2" t="e">
        <f>AND(Sheet1!#REF!,"AAAAAB3b/14=")</f>
        <v>#REF!</v>
      </c>
      <c r="CR2" t="e">
        <f>AND(Sheet1!#REF!,"AAAAAB3b/18=")</f>
        <v>#REF!</v>
      </c>
      <c r="CS2" t="e">
        <f>AND(Sheet1!#REF!,"AAAAAB3b/2A=")</f>
        <v>#REF!</v>
      </c>
      <c r="CT2" t="e">
        <f>AND(Sheet1!#REF!,"AAAAAB3b/2E=")</f>
        <v>#REF!</v>
      </c>
      <c r="CU2" t="e">
        <f>AND(Sheet1!#REF!,"AAAAAB3b/2I=")</f>
        <v>#REF!</v>
      </c>
      <c r="CV2" t="e">
        <f>AND(Sheet1!#REF!,"AAAAAB3b/2M=")</f>
        <v>#REF!</v>
      </c>
      <c r="CW2" t="e">
        <f>AND(Sheet1!#REF!,"AAAAAB3b/2Q=")</f>
        <v>#REF!</v>
      </c>
      <c r="CX2" t="e">
        <f>AND(Sheet1!#REF!,"AAAAAB3b/2U=")</f>
        <v>#REF!</v>
      </c>
      <c r="CY2" t="e">
        <f>AND(Sheet1!#REF!,"AAAAAB3b/2Y=")</f>
        <v>#REF!</v>
      </c>
      <c r="CZ2" t="e">
        <f>AND(Sheet1!#REF!,"AAAAAB3b/2c=")</f>
        <v>#REF!</v>
      </c>
      <c r="DA2" t="e">
        <f>AND(Sheet1!#REF!,"AAAAAB3b/2g=")</f>
        <v>#REF!</v>
      </c>
      <c r="DB2" t="e">
        <f>AND(Sheet1!#REF!,"AAAAAB3b/2k=")</f>
        <v>#REF!</v>
      </c>
      <c r="DC2" t="e">
        <f>AND(Sheet1!#REF!,"AAAAAB3b/2o=")</f>
        <v>#REF!</v>
      </c>
      <c r="DD2" t="e">
        <f>AND(Sheet1!#REF!,"AAAAAB3b/2s=")</f>
        <v>#REF!</v>
      </c>
      <c r="DE2" t="e">
        <f>AND(Sheet1!#REF!,"AAAAAB3b/2w=")</f>
        <v>#REF!</v>
      </c>
      <c r="DF2" t="e">
        <f>AND(Sheet1!#REF!,"AAAAAB3b/20=")</f>
        <v>#REF!</v>
      </c>
      <c r="DG2" t="e">
        <f>AND(Sheet1!#REF!,"AAAAAB3b/24=")</f>
        <v>#REF!</v>
      </c>
      <c r="DH2" t="e">
        <f>AND(Sheet1!#REF!,"AAAAAB3b/28=")</f>
        <v>#REF!</v>
      </c>
      <c r="DI2" t="e">
        <f>IF(Sheet1!#REF!,"AAAAAB3b/3A=",0)</f>
        <v>#REF!</v>
      </c>
      <c r="DJ2" t="e">
        <f>AND(Sheet1!#REF!,"AAAAAB3b/3E=")</f>
        <v>#REF!</v>
      </c>
      <c r="DK2" t="e">
        <f>AND(Sheet1!#REF!,"AAAAAB3b/3I=")</f>
        <v>#REF!</v>
      </c>
      <c r="DL2" t="e">
        <f>AND(Sheet1!#REF!,"AAAAAB3b/3M=")</f>
        <v>#REF!</v>
      </c>
      <c r="DM2" t="e">
        <f>AND(Sheet1!#REF!,"AAAAAB3b/3Q=")</f>
        <v>#REF!</v>
      </c>
      <c r="DN2" t="e">
        <f>AND(Sheet1!#REF!,"AAAAAB3b/3U=")</f>
        <v>#REF!</v>
      </c>
      <c r="DO2" t="e">
        <f>AND(Sheet1!#REF!,"AAAAAB3b/3Y=")</f>
        <v>#REF!</v>
      </c>
      <c r="DP2" t="e">
        <f>AND(Sheet1!#REF!,"AAAAAB3b/3c=")</f>
        <v>#REF!</v>
      </c>
      <c r="DQ2" t="e">
        <f>AND(Sheet1!#REF!,"AAAAAB3b/3g=")</f>
        <v>#REF!</v>
      </c>
      <c r="DR2" t="e">
        <f>AND(Sheet1!#REF!,"AAAAAB3b/3k=")</f>
        <v>#REF!</v>
      </c>
      <c r="DS2" t="e">
        <f>AND(Sheet1!#REF!,"AAAAAB3b/3o=")</f>
        <v>#REF!</v>
      </c>
      <c r="DT2" t="e">
        <f>AND(Sheet1!#REF!,"AAAAAB3b/3s=")</f>
        <v>#REF!</v>
      </c>
      <c r="DU2" t="e">
        <f>AND(Sheet1!#REF!,"AAAAAB3b/3w=")</f>
        <v>#REF!</v>
      </c>
      <c r="DV2" t="e">
        <f>AND(Sheet1!#REF!,"AAAAAB3b/30=")</f>
        <v>#REF!</v>
      </c>
      <c r="DW2" t="e">
        <f>AND(Sheet1!#REF!,"AAAAAB3b/34=")</f>
        <v>#REF!</v>
      </c>
      <c r="DX2" t="e">
        <f>AND(Sheet1!#REF!,"AAAAAB3b/38=")</f>
        <v>#REF!</v>
      </c>
      <c r="DY2" t="e">
        <f>AND(Sheet1!#REF!,"AAAAAB3b/4A=")</f>
        <v>#REF!</v>
      </c>
      <c r="DZ2" t="e">
        <f>AND(Sheet1!#REF!,"AAAAAB3b/4E=")</f>
        <v>#REF!</v>
      </c>
      <c r="EA2" t="e">
        <f>AND(Sheet1!#REF!,"AAAAAB3b/4I=")</f>
        <v>#REF!</v>
      </c>
      <c r="EB2" t="e">
        <f>AND(Sheet1!#REF!,"AAAAAB3b/4M=")</f>
        <v>#REF!</v>
      </c>
      <c r="EC2" t="e">
        <f>AND(Sheet1!#REF!,"AAAAAB3b/4Q=")</f>
        <v>#REF!</v>
      </c>
      <c r="ED2" t="e">
        <f>AND(Sheet1!#REF!,"AAAAAB3b/4U=")</f>
        <v>#REF!</v>
      </c>
      <c r="EE2" t="e">
        <f>AND(Sheet1!#REF!,"AAAAAB3b/4Y=")</f>
        <v>#REF!</v>
      </c>
      <c r="EF2" t="e">
        <f>IF(Sheet1!#REF!,"AAAAAB3b/4c=",0)</f>
        <v>#REF!</v>
      </c>
      <c r="EG2" t="e">
        <f>AND(Sheet1!#REF!,"AAAAAB3b/4g=")</f>
        <v>#REF!</v>
      </c>
      <c r="EH2" t="e">
        <f>AND(Sheet1!#REF!,"AAAAAB3b/4k=")</f>
        <v>#REF!</v>
      </c>
      <c r="EI2" t="e">
        <f>AND(Sheet1!#REF!,"AAAAAB3b/4o=")</f>
        <v>#REF!</v>
      </c>
      <c r="EJ2" t="e">
        <f>AND(Sheet1!#REF!,"AAAAAB3b/4s=")</f>
        <v>#REF!</v>
      </c>
      <c r="EK2" t="e">
        <f>AND(Sheet1!#REF!,"AAAAAB3b/4w=")</f>
        <v>#REF!</v>
      </c>
      <c r="EL2" t="e">
        <f>AND(Sheet1!#REF!,"AAAAAB3b/40=")</f>
        <v>#REF!</v>
      </c>
      <c r="EM2" t="e">
        <f>AND(Sheet1!#REF!,"AAAAAB3b/44=")</f>
        <v>#REF!</v>
      </c>
      <c r="EN2" t="e">
        <f>AND(Sheet1!#REF!,"AAAAAB3b/48=")</f>
        <v>#REF!</v>
      </c>
      <c r="EO2" t="e">
        <f>AND(Sheet1!#REF!,"AAAAAB3b/5A=")</f>
        <v>#REF!</v>
      </c>
      <c r="EP2" t="e">
        <f>AND(Sheet1!#REF!,"AAAAAB3b/5E=")</f>
        <v>#REF!</v>
      </c>
      <c r="EQ2" t="e">
        <f>AND(Sheet1!#REF!,"AAAAAB3b/5I=")</f>
        <v>#REF!</v>
      </c>
      <c r="ER2" t="e">
        <f>AND(Sheet1!#REF!,"AAAAAB3b/5M=")</f>
        <v>#REF!</v>
      </c>
      <c r="ES2" t="e">
        <f>AND(Sheet1!#REF!,"AAAAAB3b/5Q=")</f>
        <v>#REF!</v>
      </c>
      <c r="ET2" t="e">
        <f>AND(Sheet1!#REF!,"AAAAAB3b/5U=")</f>
        <v>#REF!</v>
      </c>
      <c r="EU2" t="e">
        <f>AND(Sheet1!#REF!,"AAAAAB3b/5Y=")</f>
        <v>#REF!</v>
      </c>
      <c r="EV2" t="e">
        <f>AND(Sheet1!#REF!,"AAAAAB3b/5c=")</f>
        <v>#REF!</v>
      </c>
      <c r="EW2" t="e">
        <f>AND(Sheet1!#REF!,"AAAAAB3b/5g=")</f>
        <v>#REF!</v>
      </c>
      <c r="EX2" t="e">
        <f>AND(Sheet1!#REF!,"AAAAAB3b/5k=")</f>
        <v>#REF!</v>
      </c>
      <c r="EY2" t="e">
        <f>AND(Sheet1!#REF!,"AAAAAB3b/5o=")</f>
        <v>#REF!</v>
      </c>
      <c r="EZ2" t="e">
        <f>AND(Sheet1!#REF!,"AAAAAB3b/5s=")</f>
        <v>#REF!</v>
      </c>
      <c r="FA2" t="e">
        <f>AND(Sheet1!#REF!,"AAAAAB3b/5w=")</f>
        <v>#REF!</v>
      </c>
      <c r="FB2" t="e">
        <f>AND(Sheet1!#REF!,"AAAAAB3b/50=")</f>
        <v>#REF!</v>
      </c>
      <c r="FC2" t="e">
        <f>IF(Sheet1!#REF!,"AAAAAB3b/54=",0)</f>
        <v>#REF!</v>
      </c>
      <c r="FD2" t="e">
        <f>AND(Sheet1!#REF!,"AAAAAB3b/58=")</f>
        <v>#REF!</v>
      </c>
      <c r="FE2" t="e">
        <f>AND(Sheet1!#REF!,"AAAAAB3b/6A=")</f>
        <v>#REF!</v>
      </c>
      <c r="FF2" t="e">
        <f>AND(Sheet1!#REF!,"AAAAAB3b/6E=")</f>
        <v>#REF!</v>
      </c>
      <c r="FG2" t="e">
        <f>AND(Sheet1!#REF!,"AAAAAB3b/6I=")</f>
        <v>#REF!</v>
      </c>
      <c r="FH2" t="e">
        <f>AND(Sheet1!#REF!,"AAAAAB3b/6M=")</f>
        <v>#REF!</v>
      </c>
      <c r="FI2" t="e">
        <f>AND(Sheet1!#REF!,"AAAAAB3b/6Q=")</f>
        <v>#REF!</v>
      </c>
      <c r="FJ2" t="e">
        <f>AND(Sheet1!#REF!,"AAAAAB3b/6U=")</f>
        <v>#REF!</v>
      </c>
      <c r="FK2" t="e">
        <f>AND(Sheet1!#REF!,"AAAAAB3b/6Y=")</f>
        <v>#REF!</v>
      </c>
      <c r="FL2" t="e">
        <f>AND(Sheet1!#REF!,"AAAAAB3b/6c=")</f>
        <v>#REF!</v>
      </c>
      <c r="FM2" t="e">
        <f>AND(Sheet1!#REF!,"AAAAAB3b/6g=")</f>
        <v>#REF!</v>
      </c>
      <c r="FN2" t="e">
        <f>AND(Sheet1!#REF!,"AAAAAB3b/6k=")</f>
        <v>#REF!</v>
      </c>
      <c r="FO2" t="e">
        <f>AND(Sheet1!#REF!,"AAAAAB3b/6o=")</f>
        <v>#REF!</v>
      </c>
      <c r="FP2" t="e">
        <f>AND(Sheet1!#REF!,"AAAAAB3b/6s=")</f>
        <v>#REF!</v>
      </c>
      <c r="FQ2" t="e">
        <f>AND(Sheet1!#REF!,"AAAAAB3b/6w=")</f>
        <v>#REF!</v>
      </c>
      <c r="FR2" t="e">
        <f>AND(Sheet1!#REF!,"AAAAAB3b/60=")</f>
        <v>#REF!</v>
      </c>
      <c r="FS2" t="e">
        <f>AND(Sheet1!#REF!,"AAAAAB3b/64=")</f>
        <v>#REF!</v>
      </c>
      <c r="FT2" t="e">
        <f>AND(Sheet1!#REF!,"AAAAAB3b/68=")</f>
        <v>#REF!</v>
      </c>
      <c r="FU2" t="e">
        <f>AND(Sheet1!#REF!,"AAAAAB3b/7A=")</f>
        <v>#REF!</v>
      </c>
      <c r="FV2" t="e">
        <f>AND(Sheet1!#REF!,"AAAAAB3b/7E=")</f>
        <v>#REF!</v>
      </c>
      <c r="FW2" t="e">
        <f>AND(Sheet1!#REF!,"AAAAAB3b/7I=")</f>
        <v>#REF!</v>
      </c>
      <c r="FX2" t="e">
        <f>AND(Sheet1!#REF!,"AAAAAB3b/7M=")</f>
        <v>#REF!</v>
      </c>
      <c r="FY2" t="e">
        <f>AND(Sheet1!#REF!,"AAAAAB3b/7Q=")</f>
        <v>#REF!</v>
      </c>
      <c r="FZ2">
        <f>IF(Sheet1!79:79,"AAAAAB3b/7U=",0)</f>
        <v>0</v>
      </c>
      <c r="GA2" t="e">
        <f>AND(Sheet1!A79,"AAAAAB3b/7Y=")</f>
        <v>#VALUE!</v>
      </c>
      <c r="GB2" t="e">
        <f>AND(Sheet1!B79,"AAAAAB3b/7c=")</f>
        <v>#VALUE!</v>
      </c>
      <c r="GC2" t="e">
        <f>AND(Sheet1!C79,"AAAAAB3b/7g=")</f>
        <v>#VALUE!</v>
      </c>
      <c r="GD2" t="e">
        <f>AND(Sheet1!D79,"AAAAAB3b/7k=")</f>
        <v>#VALUE!</v>
      </c>
      <c r="GE2" t="e">
        <f>AND(Sheet1!E79,"AAAAAB3b/7o=")</f>
        <v>#VALUE!</v>
      </c>
      <c r="GF2" t="e">
        <f>AND(Sheet1!#REF!,"AAAAAB3b/7s=")</f>
        <v>#REF!</v>
      </c>
      <c r="GG2" t="e">
        <f>AND(Sheet1!G79,"AAAAAB3b/7w=")</f>
        <v>#VALUE!</v>
      </c>
      <c r="GH2" t="e">
        <f>AND(Sheet1!I79,"AAAAAB3b/70=")</f>
        <v>#VALUE!</v>
      </c>
      <c r="GI2" t="e">
        <f>AND(Sheet1!J79,"AAAAAB3b/74=")</f>
        <v>#VALUE!</v>
      </c>
      <c r="GJ2" t="e">
        <f>AND(Sheet1!K79,"AAAAAB3b/78=")</f>
        <v>#VALUE!</v>
      </c>
      <c r="GK2" t="e">
        <f>AND(Sheet1!L79,"AAAAAB3b/8A=")</f>
        <v>#VALUE!</v>
      </c>
      <c r="GL2" t="e">
        <f>AND(Sheet1!M79,"AAAAAB3b/8E=")</f>
        <v>#VALUE!</v>
      </c>
      <c r="GM2" t="e">
        <f>AND(Sheet1!N79,"AAAAAB3b/8I=")</f>
        <v>#VALUE!</v>
      </c>
      <c r="GN2" t="e">
        <f>AND(Sheet1!O79,"AAAAAB3b/8M=")</f>
        <v>#VALUE!</v>
      </c>
      <c r="GO2" t="e">
        <f>AND(Sheet1!P79,"AAAAAB3b/8Q=")</f>
        <v>#VALUE!</v>
      </c>
      <c r="GP2" t="e">
        <f>AND(Sheet1!Q79,"AAAAAB3b/8U=")</f>
        <v>#VALUE!</v>
      </c>
      <c r="GQ2" t="e">
        <f>AND(Sheet1!R79,"AAAAAB3b/8Y=")</f>
        <v>#VALUE!</v>
      </c>
      <c r="GR2" t="e">
        <f>AND(Sheet1!S79,"AAAAAB3b/8c=")</f>
        <v>#VALUE!</v>
      </c>
      <c r="GS2" t="e">
        <f>AND(Sheet1!T79,"AAAAAB3b/8g=")</f>
        <v>#VALUE!</v>
      </c>
      <c r="GT2" t="e">
        <f>AND(Sheet1!U79,"AAAAAB3b/8k=")</f>
        <v>#VALUE!</v>
      </c>
      <c r="GU2" t="e">
        <f>AND(Sheet1!V79,"AAAAAB3b/8o=")</f>
        <v>#VALUE!</v>
      </c>
      <c r="GV2" t="e">
        <f>AND(Sheet1!W79,"AAAAAB3b/8s=")</f>
        <v>#VALUE!</v>
      </c>
      <c r="GW2" t="e">
        <f>IF(Sheet1!#REF!,"AAAAAB3b/8w=",0)</f>
        <v>#REF!</v>
      </c>
      <c r="GX2" t="e">
        <f>AND(Sheet1!#REF!,"AAAAAB3b/80=")</f>
        <v>#REF!</v>
      </c>
      <c r="GY2" t="e">
        <f>AND(Sheet1!#REF!,"AAAAAB3b/84=")</f>
        <v>#REF!</v>
      </c>
      <c r="GZ2" t="e">
        <f>AND(Sheet1!#REF!,"AAAAAB3b/88=")</f>
        <v>#REF!</v>
      </c>
      <c r="HA2" t="e">
        <f>AND(Sheet1!#REF!,"AAAAAB3b/9A=")</f>
        <v>#REF!</v>
      </c>
      <c r="HB2" t="e">
        <f>AND(Sheet1!#REF!,"AAAAAB3b/9E=")</f>
        <v>#REF!</v>
      </c>
      <c r="HC2" t="e">
        <f>AND(Sheet1!#REF!,"AAAAAB3b/9I=")</f>
        <v>#REF!</v>
      </c>
      <c r="HD2" t="e">
        <f>AND(Sheet1!#REF!,"AAAAAB3b/9M=")</f>
        <v>#REF!</v>
      </c>
      <c r="HE2" t="e">
        <f>AND(Sheet1!#REF!,"AAAAAB3b/9Q=")</f>
        <v>#REF!</v>
      </c>
      <c r="HF2" t="e">
        <f>AND(Sheet1!#REF!,"AAAAAB3b/9U=")</f>
        <v>#REF!</v>
      </c>
      <c r="HG2" t="e">
        <f>AND(Sheet1!#REF!,"AAAAAB3b/9Y=")</f>
        <v>#REF!</v>
      </c>
      <c r="HH2" t="e">
        <f>AND(Sheet1!#REF!,"AAAAAB3b/9c=")</f>
        <v>#REF!</v>
      </c>
      <c r="HI2" t="e">
        <f>AND(Sheet1!#REF!,"AAAAAB3b/9g=")</f>
        <v>#REF!</v>
      </c>
      <c r="HJ2" t="e">
        <f>AND(Sheet1!#REF!,"AAAAAB3b/9k=")</f>
        <v>#REF!</v>
      </c>
      <c r="HK2" t="e">
        <f>AND(Sheet1!#REF!,"AAAAAB3b/9o=")</f>
        <v>#REF!</v>
      </c>
      <c r="HL2" t="e">
        <f>AND(Sheet1!#REF!,"AAAAAB3b/9s=")</f>
        <v>#REF!</v>
      </c>
      <c r="HM2" t="e">
        <f>AND(Sheet1!#REF!,"AAAAAB3b/9w=")</f>
        <v>#REF!</v>
      </c>
      <c r="HN2" t="e">
        <f>AND(Sheet1!#REF!,"AAAAAB3b/90=")</f>
        <v>#REF!</v>
      </c>
      <c r="HO2" t="e">
        <f>AND(Sheet1!#REF!,"AAAAAB3b/94=")</f>
        <v>#REF!</v>
      </c>
      <c r="HP2" t="e">
        <f>AND(Sheet1!#REF!,"AAAAAB3b/98=")</f>
        <v>#REF!</v>
      </c>
      <c r="HQ2" t="e">
        <f>AND(Sheet1!#REF!,"AAAAAB3b/+A=")</f>
        <v>#REF!</v>
      </c>
      <c r="HR2" t="e">
        <f>AND(Sheet1!#REF!,"AAAAAB3b/+E=")</f>
        <v>#REF!</v>
      </c>
      <c r="HS2" t="e">
        <f>AND(Sheet1!#REF!,"AAAAAB3b/+I=")</f>
        <v>#REF!</v>
      </c>
      <c r="HT2" t="e">
        <f>IF(Sheet1!#REF!,"AAAAAB3b/+M=",0)</f>
        <v>#REF!</v>
      </c>
      <c r="HU2" t="e">
        <f>AND(Sheet1!#REF!,"AAAAAB3b/+Q=")</f>
        <v>#REF!</v>
      </c>
      <c r="HV2" t="e">
        <f>AND(Sheet1!#REF!,"AAAAAB3b/+U=")</f>
        <v>#REF!</v>
      </c>
      <c r="HW2" t="e">
        <f>AND(Sheet1!#REF!,"AAAAAB3b/+Y=")</f>
        <v>#REF!</v>
      </c>
      <c r="HX2" t="e">
        <f>AND(Sheet1!#REF!,"AAAAAB3b/+c=")</f>
        <v>#REF!</v>
      </c>
      <c r="HY2" t="e">
        <f>AND(Sheet1!#REF!,"AAAAAB3b/+g=")</f>
        <v>#REF!</v>
      </c>
      <c r="HZ2" t="e">
        <f>AND(Sheet1!#REF!,"AAAAAB3b/+k=")</f>
        <v>#REF!</v>
      </c>
      <c r="IA2" t="e">
        <f>AND(Sheet1!#REF!,"AAAAAB3b/+o=")</f>
        <v>#REF!</v>
      </c>
      <c r="IB2" t="e">
        <f>AND(Sheet1!#REF!,"AAAAAB3b/+s=")</f>
        <v>#REF!</v>
      </c>
      <c r="IC2" t="e">
        <f>AND(Sheet1!#REF!,"AAAAAB3b/+w=")</f>
        <v>#REF!</v>
      </c>
      <c r="ID2" t="e">
        <f>AND(Sheet1!#REF!,"AAAAAB3b/+0=")</f>
        <v>#REF!</v>
      </c>
      <c r="IE2" t="e">
        <f>AND(Sheet1!#REF!,"AAAAAB3b/+4=")</f>
        <v>#REF!</v>
      </c>
      <c r="IF2" t="e">
        <f>AND(Sheet1!#REF!,"AAAAAB3b/+8=")</f>
        <v>#REF!</v>
      </c>
      <c r="IG2" t="e">
        <f>AND(Sheet1!#REF!,"AAAAAB3b//A=")</f>
        <v>#REF!</v>
      </c>
      <c r="IH2" t="e">
        <f>AND(Sheet1!#REF!,"AAAAAB3b//E=")</f>
        <v>#REF!</v>
      </c>
      <c r="II2" t="e">
        <f>AND(Sheet1!#REF!,"AAAAAB3b//I=")</f>
        <v>#REF!</v>
      </c>
      <c r="IJ2" t="e">
        <f>AND(Sheet1!#REF!,"AAAAAB3b//M=")</f>
        <v>#REF!</v>
      </c>
      <c r="IK2" t="e">
        <f>AND(Sheet1!#REF!,"AAAAAB3b//Q=")</f>
        <v>#REF!</v>
      </c>
      <c r="IL2" t="e">
        <f>AND(Sheet1!#REF!,"AAAAAB3b//U=")</f>
        <v>#REF!</v>
      </c>
      <c r="IM2" t="e">
        <f>AND(Sheet1!#REF!,"AAAAAB3b//Y=")</f>
        <v>#REF!</v>
      </c>
      <c r="IN2" t="e">
        <f>AND(Sheet1!#REF!,"AAAAAB3b//c=")</f>
        <v>#REF!</v>
      </c>
      <c r="IO2" t="e">
        <f>AND(Sheet1!#REF!,"AAAAAB3b//g=")</f>
        <v>#REF!</v>
      </c>
      <c r="IP2" t="e">
        <f>AND(Sheet1!#REF!,"AAAAAB3b//k=")</f>
        <v>#REF!</v>
      </c>
      <c r="IQ2" t="e">
        <f>IF(Sheet1!#REF!,"AAAAAB3b//o=",0)</f>
        <v>#REF!</v>
      </c>
      <c r="IR2" t="e">
        <f>AND(Sheet1!#REF!,"AAAAAB3b//s=")</f>
        <v>#REF!</v>
      </c>
      <c r="IS2" t="e">
        <f>AND(Sheet1!#REF!,"AAAAAB3b//w=")</f>
        <v>#REF!</v>
      </c>
      <c r="IT2" t="e">
        <f>AND(Sheet1!#REF!,"AAAAAB3b//0=")</f>
        <v>#REF!</v>
      </c>
      <c r="IU2" t="e">
        <f>AND(Sheet1!#REF!,"AAAAAB3b//4=")</f>
        <v>#REF!</v>
      </c>
      <c r="IV2" t="e">
        <f>AND(Sheet1!#REF!,"AAAAAB3b//8=")</f>
        <v>#REF!</v>
      </c>
    </row>
    <row r="3" spans="1:256" ht="12.75">
      <c r="A3" t="e">
        <f>AND(Sheet1!B56,"AAAAAF3/PQA=")</f>
        <v>#VALUE!</v>
      </c>
      <c r="B3" t="e">
        <f>AND(Sheet1!#REF!,"AAAAAF3/PQE=")</f>
        <v>#REF!</v>
      </c>
      <c r="C3" t="e">
        <f>AND(Sheet1!#REF!,"AAAAAF3/PQI=")</f>
        <v>#REF!</v>
      </c>
      <c r="D3" t="e">
        <f>AND(Sheet1!#REF!,"AAAAAF3/PQM=")</f>
        <v>#REF!</v>
      </c>
      <c r="E3" t="e">
        <f>AND(Sheet1!#REF!,"AAAAAF3/PQQ=")</f>
        <v>#REF!</v>
      </c>
      <c r="F3" t="e">
        <f>AND(Sheet1!#REF!,"AAAAAF3/PQU=")</f>
        <v>#REF!</v>
      </c>
      <c r="G3" t="e">
        <f>AND(Sheet1!#REF!,"AAAAAF3/PQY=")</f>
        <v>#REF!</v>
      </c>
      <c r="H3" t="e">
        <f>AND(Sheet1!#REF!,"AAAAAF3/PQc=")</f>
        <v>#REF!</v>
      </c>
      <c r="I3" t="e">
        <f>AND(Sheet1!#REF!,"AAAAAF3/PQg=")</f>
        <v>#REF!</v>
      </c>
      <c r="J3" t="e">
        <f>AND(Sheet1!#REF!,"AAAAAF3/PQk=")</f>
        <v>#REF!</v>
      </c>
      <c r="K3" t="e">
        <f>AND(Sheet1!#REF!,"AAAAAF3/PQo=")</f>
        <v>#REF!</v>
      </c>
      <c r="L3" t="e">
        <f>AND(Sheet1!#REF!,"AAAAAF3/PQs=")</f>
        <v>#REF!</v>
      </c>
      <c r="M3" t="e">
        <f>AND(Sheet1!#REF!,"AAAAAF3/PQw=")</f>
        <v>#REF!</v>
      </c>
      <c r="N3" t="e">
        <f>AND(Sheet1!#REF!,"AAAAAF3/PQ0=")</f>
        <v>#REF!</v>
      </c>
      <c r="O3" t="e">
        <f>AND(Sheet1!#REF!,"AAAAAF3/PQ4=")</f>
        <v>#REF!</v>
      </c>
      <c r="P3" t="e">
        <f>AND(Sheet1!#REF!,"AAAAAF3/PQ8=")</f>
        <v>#REF!</v>
      </c>
      <c r="Q3" t="e">
        <f>AND(Sheet1!#REF!,"AAAAAF3/PRA=")</f>
        <v>#REF!</v>
      </c>
      <c r="R3" t="e">
        <f>IF(Sheet1!#REF!,"AAAAAF3/PRE=",0)</f>
        <v>#REF!</v>
      </c>
      <c r="S3" t="e">
        <f>AND(Sheet1!#REF!,"AAAAAF3/PRI=")</f>
        <v>#REF!</v>
      </c>
      <c r="T3" t="e">
        <f>AND(Sheet1!#REF!,"AAAAAF3/PRM=")</f>
        <v>#REF!</v>
      </c>
      <c r="U3" t="e">
        <f>AND(Sheet1!#REF!,"AAAAAF3/PRQ=")</f>
        <v>#REF!</v>
      </c>
      <c r="V3" t="e">
        <f>AND(Sheet1!#REF!,"AAAAAF3/PRU=")</f>
        <v>#REF!</v>
      </c>
      <c r="W3" t="e">
        <f>AND(Sheet1!#REF!,"AAAAAF3/PRY=")</f>
        <v>#REF!</v>
      </c>
      <c r="X3" t="e">
        <f>AND(Sheet1!B84,"AAAAAF3/PRc=")</f>
        <v>#VALUE!</v>
      </c>
      <c r="Y3" t="e">
        <f>AND(Sheet1!#REF!,"AAAAAF3/PRg=")</f>
        <v>#REF!</v>
      </c>
      <c r="Z3" t="e">
        <f>AND(Sheet1!#REF!,"AAAAAF3/PRk=")</f>
        <v>#REF!</v>
      </c>
      <c r="AA3" t="e">
        <f>AND(Sheet1!#REF!,"AAAAAF3/PRo=")</f>
        <v>#REF!</v>
      </c>
      <c r="AB3" t="e">
        <f>AND(Sheet1!#REF!,"AAAAAF3/PRs=")</f>
        <v>#REF!</v>
      </c>
      <c r="AC3" t="e">
        <f>AND(Sheet1!#REF!,"AAAAAF3/PRw=")</f>
        <v>#REF!</v>
      </c>
      <c r="AD3" t="e">
        <f>AND(Sheet1!#REF!,"AAAAAF3/PR0=")</f>
        <v>#REF!</v>
      </c>
      <c r="AE3" t="e">
        <f>AND(Sheet1!#REF!,"AAAAAF3/PR4=")</f>
        <v>#REF!</v>
      </c>
      <c r="AF3" t="e">
        <f>AND(Sheet1!#REF!,"AAAAAF3/PR8=")</f>
        <v>#REF!</v>
      </c>
      <c r="AG3" t="e">
        <f>AND(Sheet1!#REF!,"AAAAAF3/PSA=")</f>
        <v>#REF!</v>
      </c>
      <c r="AH3" t="e">
        <f>AND(Sheet1!#REF!,"AAAAAF3/PSE=")</f>
        <v>#REF!</v>
      </c>
      <c r="AI3" t="e">
        <f>AND(Sheet1!#REF!,"AAAAAF3/PSI=")</f>
        <v>#REF!</v>
      </c>
      <c r="AJ3" t="e">
        <f>AND(Sheet1!#REF!,"AAAAAF3/PSM=")</f>
        <v>#REF!</v>
      </c>
      <c r="AK3" t="e">
        <f>AND(Sheet1!#REF!,"AAAAAF3/PSQ=")</f>
        <v>#REF!</v>
      </c>
      <c r="AL3" t="e">
        <f>AND(Sheet1!#REF!,"AAAAAF3/PSU=")</f>
        <v>#REF!</v>
      </c>
      <c r="AM3" t="e">
        <f>AND(Sheet1!#REF!,"AAAAAF3/PSY=")</f>
        <v>#REF!</v>
      </c>
      <c r="AN3" t="e">
        <f>AND(Sheet1!#REF!,"AAAAAF3/PSc=")</f>
        <v>#REF!</v>
      </c>
      <c r="AO3" t="e">
        <f>IF(Sheet1!#REF!,"AAAAAF3/PSg=",0)</f>
        <v>#REF!</v>
      </c>
      <c r="AP3" t="e">
        <f>AND(Sheet1!#REF!,"AAAAAF3/PSk=")</f>
        <v>#REF!</v>
      </c>
      <c r="AQ3" t="e">
        <f>AND(Sheet1!#REF!,"AAAAAF3/PSo=")</f>
        <v>#REF!</v>
      </c>
      <c r="AR3" t="e">
        <f>AND(Sheet1!#REF!,"AAAAAF3/PSs=")</f>
        <v>#REF!</v>
      </c>
      <c r="AS3" t="e">
        <f>AND(Sheet1!#REF!,"AAAAAF3/PSw=")</f>
        <v>#REF!</v>
      </c>
      <c r="AT3" t="e">
        <f>AND(Sheet1!#REF!,"AAAAAF3/PS0=")</f>
        <v>#REF!</v>
      </c>
      <c r="AU3" t="e">
        <f>AND(Sheet1!#REF!,"AAAAAF3/PS4=")</f>
        <v>#REF!</v>
      </c>
      <c r="AV3" t="e">
        <f>AND(Sheet1!#REF!,"AAAAAF3/PS8=")</f>
        <v>#REF!</v>
      </c>
      <c r="AW3" t="e">
        <f>AND(Sheet1!#REF!,"AAAAAF3/PTA=")</f>
        <v>#REF!</v>
      </c>
      <c r="AX3" t="e">
        <f>AND(Sheet1!#REF!,"AAAAAF3/PTE=")</f>
        <v>#REF!</v>
      </c>
      <c r="AY3" t="e">
        <f>AND(Sheet1!#REF!,"AAAAAF3/PTI=")</f>
        <v>#REF!</v>
      </c>
      <c r="AZ3" t="e">
        <f>AND(Sheet1!#REF!,"AAAAAF3/PTM=")</f>
        <v>#REF!</v>
      </c>
      <c r="BA3" t="e">
        <f>AND(Sheet1!#REF!,"AAAAAF3/PTQ=")</f>
        <v>#REF!</v>
      </c>
      <c r="BB3" t="e">
        <f>AND(Sheet1!#REF!,"AAAAAF3/PTU=")</f>
        <v>#REF!</v>
      </c>
      <c r="BC3" t="e">
        <f>AND(Sheet1!#REF!,"AAAAAF3/PTY=")</f>
        <v>#REF!</v>
      </c>
      <c r="BD3" t="e">
        <f>AND(Sheet1!#REF!,"AAAAAF3/PTc=")</f>
        <v>#REF!</v>
      </c>
      <c r="BE3" t="e">
        <f>AND(Sheet1!#REF!,"AAAAAF3/PTg=")</f>
        <v>#REF!</v>
      </c>
      <c r="BF3" t="e">
        <f>AND(Sheet1!#REF!,"AAAAAF3/PTk=")</f>
        <v>#REF!</v>
      </c>
      <c r="BG3" t="e">
        <f>AND(Sheet1!#REF!,"AAAAAF3/PTo=")</f>
        <v>#REF!</v>
      </c>
      <c r="BH3" t="e">
        <f>AND(Sheet1!#REF!,"AAAAAF3/PTs=")</f>
        <v>#REF!</v>
      </c>
      <c r="BI3" t="e">
        <f>AND(Sheet1!#REF!,"AAAAAF3/PTw=")</f>
        <v>#REF!</v>
      </c>
      <c r="BJ3" t="e">
        <f>AND(Sheet1!#REF!,"AAAAAF3/PT0=")</f>
        <v>#REF!</v>
      </c>
      <c r="BK3" t="e">
        <f>AND(Sheet1!#REF!,"AAAAAF3/PT4=")</f>
        <v>#REF!</v>
      </c>
      <c r="BL3" t="e">
        <f>IF(Sheet1!#REF!,"AAAAAF3/PT8=",0)</f>
        <v>#REF!</v>
      </c>
      <c r="BM3" t="e">
        <f>AND(Sheet1!#REF!,"AAAAAF3/PUA=")</f>
        <v>#REF!</v>
      </c>
      <c r="BN3" t="e">
        <f>AND(Sheet1!#REF!,"AAAAAF3/PUE=")</f>
        <v>#REF!</v>
      </c>
      <c r="BO3" t="e">
        <f>AND(Sheet1!#REF!,"AAAAAF3/PUI=")</f>
        <v>#REF!</v>
      </c>
      <c r="BP3" t="e">
        <f>AND(Sheet1!#REF!,"AAAAAF3/PUM=")</f>
        <v>#REF!</v>
      </c>
      <c r="BQ3" t="e">
        <f>AND(Sheet1!#REF!,"AAAAAF3/PUQ=")</f>
        <v>#REF!</v>
      </c>
      <c r="BR3" t="e">
        <f>AND(Sheet1!#REF!,"AAAAAF3/PUU=")</f>
        <v>#REF!</v>
      </c>
      <c r="BS3" t="e">
        <f>AND(Sheet1!#REF!,"AAAAAF3/PUY=")</f>
        <v>#REF!</v>
      </c>
      <c r="BT3" t="e">
        <f>AND(Sheet1!#REF!,"AAAAAF3/PUc=")</f>
        <v>#REF!</v>
      </c>
      <c r="BU3" t="e">
        <f>AND(Sheet1!#REF!,"AAAAAF3/PUg=")</f>
        <v>#REF!</v>
      </c>
      <c r="BV3" t="e">
        <f>AND(Sheet1!#REF!,"AAAAAF3/PUk=")</f>
        <v>#REF!</v>
      </c>
      <c r="BW3" t="e">
        <f>AND(Sheet1!#REF!,"AAAAAF3/PUo=")</f>
        <v>#REF!</v>
      </c>
      <c r="BX3" t="e">
        <f>AND(Sheet1!#REF!,"AAAAAF3/PUs=")</f>
        <v>#REF!</v>
      </c>
      <c r="BY3" t="e">
        <f>AND(Sheet1!#REF!,"AAAAAF3/PUw=")</f>
        <v>#REF!</v>
      </c>
      <c r="BZ3" t="e">
        <f>AND(Sheet1!#REF!,"AAAAAF3/PU0=")</f>
        <v>#REF!</v>
      </c>
      <c r="CA3" t="e">
        <f>AND(Sheet1!#REF!,"AAAAAF3/PU4=")</f>
        <v>#REF!</v>
      </c>
      <c r="CB3" t="e">
        <f>AND(Sheet1!#REF!,"AAAAAF3/PU8=")</f>
        <v>#REF!</v>
      </c>
      <c r="CC3" t="e">
        <f>AND(Sheet1!#REF!,"AAAAAF3/PVA=")</f>
        <v>#REF!</v>
      </c>
      <c r="CD3" t="e">
        <f>AND(Sheet1!#REF!,"AAAAAF3/PVE=")</f>
        <v>#REF!</v>
      </c>
      <c r="CE3" t="e">
        <f>AND(Sheet1!#REF!,"AAAAAF3/PVI=")</f>
        <v>#REF!</v>
      </c>
      <c r="CF3" t="e">
        <f>AND(Sheet1!#REF!,"AAAAAF3/PVM=")</f>
        <v>#REF!</v>
      </c>
      <c r="CG3" t="e">
        <f>AND(Sheet1!#REF!,"AAAAAF3/PVQ=")</f>
        <v>#REF!</v>
      </c>
      <c r="CH3" t="e">
        <f>AND(Sheet1!#REF!,"AAAAAF3/PVU=")</f>
        <v>#REF!</v>
      </c>
      <c r="CI3" t="e">
        <f>IF(Sheet1!#REF!,"AAAAAF3/PVY=",0)</f>
        <v>#REF!</v>
      </c>
      <c r="CJ3" t="e">
        <f>AND(Sheet1!#REF!,"AAAAAF3/PVc=")</f>
        <v>#REF!</v>
      </c>
      <c r="CK3" t="e">
        <f>AND(Sheet1!#REF!,"AAAAAF3/PVg=")</f>
        <v>#REF!</v>
      </c>
      <c r="CL3" t="e">
        <f>AND(Sheet1!#REF!,"AAAAAF3/PVk=")</f>
        <v>#REF!</v>
      </c>
      <c r="CM3" t="e">
        <f>AND(Sheet1!#REF!,"AAAAAF3/PVo=")</f>
        <v>#REF!</v>
      </c>
      <c r="CN3" t="e">
        <f>AND(Sheet1!#REF!,"AAAAAF3/PVs=")</f>
        <v>#REF!</v>
      </c>
      <c r="CO3" t="e">
        <f>AND(Sheet1!#REF!,"AAAAAF3/PVw=")</f>
        <v>#REF!</v>
      </c>
      <c r="CP3" t="e">
        <f>AND(Sheet1!#REF!,"AAAAAF3/PV0=")</f>
        <v>#REF!</v>
      </c>
      <c r="CQ3" t="e">
        <f>AND(Sheet1!#REF!,"AAAAAF3/PV4=")</f>
        <v>#REF!</v>
      </c>
      <c r="CR3" t="e">
        <f>AND(Sheet1!#REF!,"AAAAAF3/PV8=")</f>
        <v>#REF!</v>
      </c>
      <c r="CS3" t="e">
        <f>AND(Sheet1!#REF!,"AAAAAF3/PWA=")</f>
        <v>#REF!</v>
      </c>
      <c r="CT3" t="e">
        <f>AND(Sheet1!#REF!,"AAAAAF3/PWE=")</f>
        <v>#REF!</v>
      </c>
      <c r="CU3" t="e">
        <f>AND(Sheet1!#REF!,"AAAAAF3/PWI=")</f>
        <v>#REF!</v>
      </c>
      <c r="CV3" t="e">
        <f>AND(Sheet1!#REF!,"AAAAAF3/PWM=")</f>
        <v>#REF!</v>
      </c>
      <c r="CW3" t="e">
        <f>AND(Sheet1!#REF!,"AAAAAF3/PWQ=")</f>
        <v>#REF!</v>
      </c>
      <c r="CX3" t="e">
        <f>AND(Sheet1!#REF!,"AAAAAF3/PWU=")</f>
        <v>#REF!</v>
      </c>
      <c r="CY3" t="e">
        <f>AND(Sheet1!#REF!,"AAAAAF3/PWY=")</f>
        <v>#REF!</v>
      </c>
      <c r="CZ3" t="e">
        <f>AND(Sheet1!#REF!,"AAAAAF3/PWc=")</f>
        <v>#REF!</v>
      </c>
      <c r="DA3" t="e">
        <f>AND(Sheet1!#REF!,"AAAAAF3/PWg=")</f>
        <v>#REF!</v>
      </c>
      <c r="DB3" t="e">
        <f>AND(Sheet1!#REF!,"AAAAAF3/PWk=")</f>
        <v>#REF!</v>
      </c>
      <c r="DC3" t="e">
        <f>AND(Sheet1!#REF!,"AAAAAF3/PWo=")</f>
        <v>#REF!</v>
      </c>
      <c r="DD3" t="e">
        <f>AND(Sheet1!#REF!,"AAAAAF3/PWs=")</f>
        <v>#REF!</v>
      </c>
      <c r="DE3" t="e">
        <f>AND(Sheet1!#REF!,"AAAAAF3/PWw=")</f>
        <v>#REF!</v>
      </c>
      <c r="DF3" t="e">
        <f>IF(Sheet1!#REF!,"AAAAAF3/PW0=",0)</f>
        <v>#REF!</v>
      </c>
      <c r="DG3" t="e">
        <f>AND(Sheet1!#REF!,"AAAAAF3/PW4=")</f>
        <v>#REF!</v>
      </c>
      <c r="DH3" t="e">
        <f>AND(Sheet1!#REF!,"AAAAAF3/PW8=")</f>
        <v>#REF!</v>
      </c>
      <c r="DI3" t="e">
        <f>AND(Sheet1!#REF!,"AAAAAF3/PXA=")</f>
        <v>#REF!</v>
      </c>
      <c r="DJ3" t="e">
        <f>AND(Sheet1!#REF!,"AAAAAF3/PXE=")</f>
        <v>#REF!</v>
      </c>
      <c r="DK3" t="e">
        <f>AND(Sheet1!#REF!,"AAAAAF3/PXI=")</f>
        <v>#REF!</v>
      </c>
      <c r="DL3" t="e">
        <f>AND(Sheet1!#REF!,"AAAAAF3/PXM=")</f>
        <v>#REF!</v>
      </c>
      <c r="DM3" t="e">
        <f>AND(Sheet1!#REF!,"AAAAAF3/PXQ=")</f>
        <v>#REF!</v>
      </c>
      <c r="DN3" t="e">
        <f>AND(Sheet1!#REF!,"AAAAAF3/PXU=")</f>
        <v>#REF!</v>
      </c>
      <c r="DO3" t="e">
        <f>AND(Sheet1!#REF!,"AAAAAF3/PXY=")</f>
        <v>#REF!</v>
      </c>
      <c r="DP3" t="e">
        <f>AND(Sheet1!#REF!,"AAAAAF3/PXc=")</f>
        <v>#REF!</v>
      </c>
      <c r="DQ3" t="e">
        <f>AND(Sheet1!#REF!,"AAAAAF3/PXg=")</f>
        <v>#REF!</v>
      </c>
      <c r="DR3" t="e">
        <f>AND(Sheet1!#REF!,"AAAAAF3/PXk=")</f>
        <v>#REF!</v>
      </c>
      <c r="DS3" t="e">
        <f>AND(Sheet1!#REF!,"AAAAAF3/PXo=")</f>
        <v>#REF!</v>
      </c>
      <c r="DT3" t="e">
        <f>AND(Sheet1!#REF!,"AAAAAF3/PXs=")</f>
        <v>#REF!</v>
      </c>
      <c r="DU3" t="e">
        <f>AND(Sheet1!#REF!,"AAAAAF3/PXw=")</f>
        <v>#REF!</v>
      </c>
      <c r="DV3" t="e">
        <f>AND(Sheet1!#REF!,"AAAAAF3/PX0=")</f>
        <v>#REF!</v>
      </c>
      <c r="DW3" t="e">
        <f>AND(Sheet1!#REF!,"AAAAAF3/PX4=")</f>
        <v>#REF!</v>
      </c>
      <c r="DX3" t="e">
        <f>AND(Sheet1!#REF!,"AAAAAF3/PX8=")</f>
        <v>#REF!</v>
      </c>
      <c r="DY3" t="e">
        <f>AND(Sheet1!#REF!,"AAAAAF3/PYA=")</f>
        <v>#REF!</v>
      </c>
      <c r="DZ3" t="e">
        <f>AND(Sheet1!#REF!,"AAAAAF3/PYE=")</f>
        <v>#REF!</v>
      </c>
      <c r="EA3" t="e">
        <f>AND(Sheet1!#REF!,"AAAAAF3/PYI=")</f>
        <v>#REF!</v>
      </c>
      <c r="EB3" t="e">
        <f>AND(Sheet1!#REF!,"AAAAAF3/PYM=")</f>
        <v>#REF!</v>
      </c>
      <c r="EC3" t="e">
        <f>IF(Sheet1!#REF!,"AAAAAF3/PYQ=",0)</f>
        <v>#REF!</v>
      </c>
      <c r="ED3" t="e">
        <f>AND(Sheet1!#REF!,"AAAAAF3/PYU=")</f>
        <v>#REF!</v>
      </c>
      <c r="EE3" t="e">
        <f>AND(Sheet1!#REF!,"AAAAAF3/PYY=")</f>
        <v>#REF!</v>
      </c>
      <c r="EF3" t="e">
        <f>AND(Sheet1!#REF!,"AAAAAF3/PYc=")</f>
        <v>#REF!</v>
      </c>
      <c r="EG3" t="e">
        <f>AND(Sheet1!#REF!,"AAAAAF3/PYg=")</f>
        <v>#REF!</v>
      </c>
      <c r="EH3" t="e">
        <f>AND(Sheet1!#REF!,"AAAAAF3/PYk=")</f>
        <v>#REF!</v>
      </c>
      <c r="EI3" t="e">
        <f>AND(Sheet1!#REF!,"AAAAAF3/PYo=")</f>
        <v>#REF!</v>
      </c>
      <c r="EJ3" t="e">
        <f>AND(Sheet1!#REF!,"AAAAAF3/PYs=")</f>
        <v>#REF!</v>
      </c>
      <c r="EK3" t="e">
        <f>AND(Sheet1!#REF!,"AAAAAF3/PYw=")</f>
        <v>#REF!</v>
      </c>
      <c r="EL3" t="e">
        <f>AND(Sheet1!#REF!,"AAAAAF3/PY0=")</f>
        <v>#REF!</v>
      </c>
      <c r="EM3" t="e">
        <f>AND(Sheet1!#REF!,"AAAAAF3/PY4=")</f>
        <v>#REF!</v>
      </c>
      <c r="EN3" t="e">
        <f>AND(Sheet1!#REF!,"AAAAAF3/PY8=")</f>
        <v>#REF!</v>
      </c>
      <c r="EO3" t="e">
        <f>AND(Sheet1!#REF!,"AAAAAF3/PZA=")</f>
        <v>#REF!</v>
      </c>
      <c r="EP3" t="e">
        <f>AND(Sheet1!#REF!,"AAAAAF3/PZE=")</f>
        <v>#REF!</v>
      </c>
      <c r="EQ3" t="e">
        <f>AND(Sheet1!#REF!,"AAAAAF3/PZI=")</f>
        <v>#REF!</v>
      </c>
      <c r="ER3" t="e">
        <f>AND(Sheet1!#REF!,"AAAAAF3/PZM=")</f>
        <v>#REF!</v>
      </c>
      <c r="ES3" t="e">
        <f>AND(Sheet1!#REF!,"AAAAAF3/PZQ=")</f>
        <v>#REF!</v>
      </c>
      <c r="ET3" t="e">
        <f>AND(Sheet1!#REF!,"AAAAAF3/PZU=")</f>
        <v>#REF!</v>
      </c>
      <c r="EU3" t="e">
        <f>AND(Sheet1!#REF!,"AAAAAF3/PZY=")</f>
        <v>#REF!</v>
      </c>
      <c r="EV3" t="e">
        <f>AND(Sheet1!#REF!,"AAAAAF3/PZc=")</f>
        <v>#REF!</v>
      </c>
      <c r="EW3" t="e">
        <f>AND(Sheet1!#REF!,"AAAAAF3/PZg=")</f>
        <v>#REF!</v>
      </c>
      <c r="EX3" t="e">
        <f>AND(Sheet1!#REF!,"AAAAAF3/PZk=")</f>
        <v>#REF!</v>
      </c>
      <c r="EY3" t="e">
        <f>AND(Sheet1!#REF!,"AAAAAF3/PZo=")</f>
        <v>#REF!</v>
      </c>
      <c r="EZ3" t="e">
        <f>IF(Sheet1!#REF!,"AAAAAF3/PZs=",0)</f>
        <v>#REF!</v>
      </c>
      <c r="FA3" t="e">
        <f>AND(Sheet1!#REF!,"AAAAAF3/PZw=")</f>
        <v>#REF!</v>
      </c>
      <c r="FB3" t="e">
        <f>AND(Sheet1!#REF!,"AAAAAF3/PZ0=")</f>
        <v>#REF!</v>
      </c>
      <c r="FC3" t="e">
        <f>AND(Sheet1!#REF!,"AAAAAF3/PZ4=")</f>
        <v>#REF!</v>
      </c>
      <c r="FD3" t="e">
        <f>AND(Sheet1!#REF!,"AAAAAF3/PZ8=")</f>
        <v>#REF!</v>
      </c>
      <c r="FE3" t="e">
        <f>AND(Sheet1!#REF!,"AAAAAF3/PaA=")</f>
        <v>#REF!</v>
      </c>
      <c r="FF3" t="e">
        <f>AND(Sheet1!#REF!,"AAAAAF3/PaE=")</f>
        <v>#REF!</v>
      </c>
      <c r="FG3" t="e">
        <f>AND(Sheet1!#REF!,"AAAAAF3/PaI=")</f>
        <v>#REF!</v>
      </c>
      <c r="FH3" t="e">
        <f>AND(Sheet1!#REF!,"AAAAAF3/PaM=")</f>
        <v>#REF!</v>
      </c>
      <c r="FI3" t="e">
        <f>AND(Sheet1!#REF!,"AAAAAF3/PaQ=")</f>
        <v>#REF!</v>
      </c>
      <c r="FJ3" t="e">
        <f>AND(Sheet1!#REF!,"AAAAAF3/PaU=")</f>
        <v>#REF!</v>
      </c>
      <c r="FK3" t="e">
        <f>AND(Sheet1!#REF!,"AAAAAF3/PaY=")</f>
        <v>#REF!</v>
      </c>
      <c r="FL3" t="e">
        <f>AND(Sheet1!#REF!,"AAAAAF3/Pac=")</f>
        <v>#REF!</v>
      </c>
      <c r="FM3" t="e">
        <f>AND(Sheet1!#REF!,"AAAAAF3/Pag=")</f>
        <v>#REF!</v>
      </c>
      <c r="FN3" t="e">
        <f>AND(Sheet1!#REF!,"AAAAAF3/Pak=")</f>
        <v>#REF!</v>
      </c>
      <c r="FO3" t="e">
        <f>AND(Sheet1!#REF!,"AAAAAF3/Pao=")</f>
        <v>#REF!</v>
      </c>
      <c r="FP3" t="e">
        <f>AND(Sheet1!#REF!,"AAAAAF3/Pas=")</f>
        <v>#REF!</v>
      </c>
      <c r="FQ3" t="e">
        <f>AND(Sheet1!#REF!,"AAAAAF3/Paw=")</f>
        <v>#REF!</v>
      </c>
      <c r="FR3" t="e">
        <f>AND(Sheet1!#REF!,"AAAAAF3/Pa0=")</f>
        <v>#REF!</v>
      </c>
      <c r="FS3" t="e">
        <f>AND(Sheet1!#REF!,"AAAAAF3/Pa4=")</f>
        <v>#REF!</v>
      </c>
      <c r="FT3" t="e">
        <f>AND(Sheet1!#REF!,"AAAAAF3/Pa8=")</f>
        <v>#REF!</v>
      </c>
      <c r="FU3" t="e">
        <f>AND(Sheet1!#REF!,"AAAAAF3/PbA=")</f>
        <v>#REF!</v>
      </c>
      <c r="FV3" t="e">
        <f>AND(Sheet1!#REF!,"AAAAAF3/PbE=")</f>
        <v>#REF!</v>
      </c>
      <c r="FW3" t="e">
        <f>IF(Sheet1!#REF!,"AAAAAF3/PbI=",0)</f>
        <v>#REF!</v>
      </c>
      <c r="FX3" t="e">
        <f>AND(Sheet1!#REF!,"AAAAAF3/PbM=")</f>
        <v>#REF!</v>
      </c>
      <c r="FY3" t="e">
        <f>AND(Sheet1!#REF!,"AAAAAF3/PbQ=")</f>
        <v>#REF!</v>
      </c>
      <c r="FZ3" t="e">
        <f>AND(Sheet1!#REF!,"AAAAAF3/PbU=")</f>
        <v>#REF!</v>
      </c>
      <c r="GA3" t="e">
        <f>AND(Sheet1!#REF!,"AAAAAF3/PbY=")</f>
        <v>#REF!</v>
      </c>
      <c r="GB3" t="e">
        <f>AND(Sheet1!#REF!,"AAAAAF3/Pbc=")</f>
        <v>#REF!</v>
      </c>
      <c r="GC3" t="e">
        <f>AND(Sheet1!#REF!,"AAAAAF3/Pbg=")</f>
        <v>#REF!</v>
      </c>
      <c r="GD3" t="e">
        <f>AND(Sheet1!#REF!,"AAAAAF3/Pbk=")</f>
        <v>#REF!</v>
      </c>
      <c r="GE3" t="e">
        <f>AND(Sheet1!#REF!,"AAAAAF3/Pbo=")</f>
        <v>#REF!</v>
      </c>
      <c r="GF3" t="e">
        <f>AND(Sheet1!#REF!,"AAAAAF3/Pbs=")</f>
        <v>#REF!</v>
      </c>
      <c r="GG3" t="e">
        <f>AND(Sheet1!#REF!,"AAAAAF3/Pbw=")</f>
        <v>#REF!</v>
      </c>
      <c r="GH3" t="e">
        <f>AND(Sheet1!#REF!,"AAAAAF3/Pb0=")</f>
        <v>#REF!</v>
      </c>
      <c r="GI3" t="e">
        <f>AND(Sheet1!#REF!,"AAAAAF3/Pb4=")</f>
        <v>#REF!</v>
      </c>
      <c r="GJ3" t="e">
        <f>AND(Sheet1!#REF!,"AAAAAF3/Pb8=")</f>
        <v>#REF!</v>
      </c>
      <c r="GK3" t="e">
        <f>AND(Sheet1!#REF!,"AAAAAF3/PcA=")</f>
        <v>#REF!</v>
      </c>
      <c r="GL3" t="e">
        <f>AND(Sheet1!#REF!,"AAAAAF3/PcE=")</f>
        <v>#REF!</v>
      </c>
      <c r="GM3" t="e">
        <f>AND(Sheet1!#REF!,"AAAAAF3/PcI=")</f>
        <v>#REF!</v>
      </c>
      <c r="GN3" t="e">
        <f>AND(Sheet1!#REF!,"AAAAAF3/PcM=")</f>
        <v>#REF!</v>
      </c>
      <c r="GO3" t="e">
        <f>AND(Sheet1!#REF!,"AAAAAF3/PcQ=")</f>
        <v>#REF!</v>
      </c>
      <c r="GP3" t="e">
        <f>AND(Sheet1!#REF!,"AAAAAF3/PcU=")</f>
        <v>#REF!</v>
      </c>
      <c r="GQ3" t="e">
        <f>AND(Sheet1!#REF!,"AAAAAF3/PcY=")</f>
        <v>#REF!</v>
      </c>
      <c r="GR3" t="e">
        <f>AND(Sheet1!#REF!,"AAAAAF3/Pcc=")</f>
        <v>#REF!</v>
      </c>
      <c r="GS3" t="e">
        <f>AND(Sheet1!#REF!,"AAAAAF3/Pcg=")</f>
        <v>#REF!</v>
      </c>
      <c r="GT3">
        <f>IF(Sheet1!5:5,"AAAAAF3/Pck=",0)</f>
        <v>0</v>
      </c>
      <c r="GU3" t="e">
        <f>AND(Sheet1!A5,"AAAAAF3/Pco=")</f>
        <v>#VALUE!</v>
      </c>
      <c r="GV3" t="e">
        <f>AND(Sheet1!B5,"AAAAAF3/Pcs=")</f>
        <v>#VALUE!</v>
      </c>
      <c r="GW3" t="e">
        <f>AND(Sheet1!C5,"AAAAAF3/Pcw=")</f>
        <v>#VALUE!</v>
      </c>
      <c r="GX3" t="e">
        <f>AND(Sheet1!D5,"AAAAAF3/Pc0=")</f>
        <v>#VALUE!</v>
      </c>
      <c r="GY3" t="e">
        <f>AND(Sheet1!E5,"AAAAAF3/Pc4=")</f>
        <v>#VALUE!</v>
      </c>
      <c r="GZ3" t="e">
        <f>AND(Sheet1!F5,"AAAAAF3/Pc8=")</f>
        <v>#VALUE!</v>
      </c>
      <c r="HA3" t="e">
        <f>AND(Sheet1!G5,"AAAAAF3/PdA=")</f>
        <v>#VALUE!</v>
      </c>
      <c r="HB3" t="e">
        <f>AND(Sheet1!I5,"AAAAAF3/PdE=")</f>
        <v>#VALUE!</v>
      </c>
      <c r="HC3" t="e">
        <f>AND(Sheet1!J5,"AAAAAF3/PdI=")</f>
        <v>#VALUE!</v>
      </c>
      <c r="HD3" t="e">
        <f>AND(Sheet1!K5,"AAAAAF3/PdM=")</f>
        <v>#VALUE!</v>
      </c>
      <c r="HE3" t="e">
        <f>AND(Sheet1!L5,"AAAAAF3/PdQ=")</f>
        <v>#VALUE!</v>
      </c>
      <c r="HF3" t="e">
        <f>AND(Sheet1!M5,"AAAAAF3/PdU=")</f>
        <v>#VALUE!</v>
      </c>
      <c r="HG3" t="e">
        <f>AND(Sheet1!N5,"AAAAAF3/PdY=")</f>
        <v>#VALUE!</v>
      </c>
      <c r="HH3" t="e">
        <f>AND(Sheet1!O5,"AAAAAF3/Pdc=")</f>
        <v>#VALUE!</v>
      </c>
      <c r="HI3" t="e">
        <f>AND(Sheet1!P5,"AAAAAF3/Pdg=")</f>
        <v>#VALUE!</v>
      </c>
      <c r="HJ3" t="e">
        <f>AND(Sheet1!Q5,"AAAAAF3/Pdk=")</f>
        <v>#VALUE!</v>
      </c>
      <c r="HK3" t="e">
        <f>AND(Sheet1!R5,"AAAAAF3/Pdo=")</f>
        <v>#VALUE!</v>
      </c>
      <c r="HL3" t="e">
        <f>AND(Sheet1!S5,"AAAAAF3/Pds=")</f>
        <v>#VALUE!</v>
      </c>
      <c r="HM3" t="e">
        <f>AND(Sheet1!T5,"AAAAAF3/Pdw=")</f>
        <v>#VALUE!</v>
      </c>
      <c r="HN3" t="e">
        <f>AND(Sheet1!U5,"AAAAAF3/Pd0=")</f>
        <v>#VALUE!</v>
      </c>
      <c r="HO3" t="e">
        <f>AND(Sheet1!V5,"AAAAAF3/Pd4=")</f>
        <v>#VALUE!</v>
      </c>
      <c r="HP3" t="e">
        <f>AND(Sheet1!W5,"AAAAAF3/Pd8=")</f>
        <v>#VALUE!</v>
      </c>
      <c r="HQ3">
        <f>IF(Sheet1!13:13,"AAAAAF3/PeA=",0)</f>
        <v>0</v>
      </c>
      <c r="HR3" t="e">
        <f>AND(Sheet1!A13,"AAAAAF3/PeE=")</f>
        <v>#VALUE!</v>
      </c>
      <c r="HS3" t="e">
        <f>AND(Sheet1!B13,"AAAAAF3/PeI=")</f>
        <v>#VALUE!</v>
      </c>
      <c r="HT3" t="e">
        <f>AND(Sheet1!C13,"AAAAAF3/PeM=")</f>
        <v>#VALUE!</v>
      </c>
      <c r="HU3" t="e">
        <f>AND(Sheet1!D13,"AAAAAF3/PeQ=")</f>
        <v>#VALUE!</v>
      </c>
      <c r="HV3" t="e">
        <f>AND(Sheet1!E13,"AAAAAF3/PeU=")</f>
        <v>#VALUE!</v>
      </c>
      <c r="HW3" t="e">
        <f>AND(Sheet1!F13,"AAAAAF3/PeY=")</f>
        <v>#VALUE!</v>
      </c>
      <c r="HX3" t="e">
        <f>AND(Sheet1!G13,"AAAAAF3/Pec=")</f>
        <v>#VALUE!</v>
      </c>
      <c r="HY3" t="e">
        <f>AND(Sheet1!I13,"AAAAAF3/Peg=")</f>
        <v>#VALUE!</v>
      </c>
      <c r="HZ3" t="e">
        <f>AND(Sheet1!J13,"AAAAAF3/Pek=")</f>
        <v>#VALUE!</v>
      </c>
      <c r="IA3" t="e">
        <f>AND(Sheet1!K13,"AAAAAF3/Peo=")</f>
        <v>#VALUE!</v>
      </c>
      <c r="IB3" t="e">
        <f>AND(Sheet1!L13,"AAAAAF3/Pes=")</f>
        <v>#VALUE!</v>
      </c>
      <c r="IC3" t="e">
        <f>AND(Sheet1!M13,"AAAAAF3/Pew=")</f>
        <v>#VALUE!</v>
      </c>
      <c r="ID3" t="e">
        <f>AND(Sheet1!N13,"AAAAAF3/Pe0=")</f>
        <v>#VALUE!</v>
      </c>
      <c r="IE3" t="e">
        <f>AND(Sheet1!O13,"AAAAAF3/Pe4=")</f>
        <v>#VALUE!</v>
      </c>
      <c r="IF3" t="e">
        <f>AND(Sheet1!P13,"AAAAAF3/Pe8=")</f>
        <v>#VALUE!</v>
      </c>
      <c r="IG3" t="e">
        <f>AND(Sheet1!Q13,"AAAAAF3/PfA=")</f>
        <v>#VALUE!</v>
      </c>
      <c r="IH3" t="e">
        <f>AND(Sheet1!R13,"AAAAAF3/PfE=")</f>
        <v>#VALUE!</v>
      </c>
      <c r="II3" t="e">
        <f>AND(Sheet1!S13,"AAAAAF3/PfI=")</f>
        <v>#VALUE!</v>
      </c>
      <c r="IJ3" t="e">
        <f>AND(Sheet1!T13,"AAAAAF3/PfM=")</f>
        <v>#VALUE!</v>
      </c>
      <c r="IK3" t="e">
        <f>AND(Sheet1!U13,"AAAAAF3/PfQ=")</f>
        <v>#VALUE!</v>
      </c>
      <c r="IL3" t="e">
        <f>AND(Sheet1!V13,"AAAAAF3/PfU=")</f>
        <v>#VALUE!</v>
      </c>
      <c r="IM3" t="e">
        <f>AND(Sheet1!W13,"AAAAAF3/PfY=")</f>
        <v>#VALUE!</v>
      </c>
      <c r="IN3" t="e">
        <f>IF(Sheet1!#REF!,"AAAAAF3/Pfc=",0)</f>
        <v>#REF!</v>
      </c>
      <c r="IO3" t="e">
        <f>AND(Sheet1!#REF!,"AAAAAF3/Pfg=")</f>
        <v>#REF!</v>
      </c>
      <c r="IP3" t="e">
        <f>AND(Sheet1!#REF!,"AAAAAF3/Pfk=")</f>
        <v>#REF!</v>
      </c>
      <c r="IQ3" t="e">
        <f>AND(Sheet1!#REF!,"AAAAAF3/Pfo=")</f>
        <v>#REF!</v>
      </c>
      <c r="IR3" t="e">
        <f>AND(Sheet1!#REF!,"AAAAAF3/Pfs=")</f>
        <v>#REF!</v>
      </c>
      <c r="IS3" t="e">
        <f>AND(Sheet1!#REF!,"AAAAAF3/Pfw=")</f>
        <v>#REF!</v>
      </c>
      <c r="IT3" t="e">
        <f>AND(Sheet1!#REF!,"AAAAAF3/Pf0=")</f>
        <v>#REF!</v>
      </c>
      <c r="IU3" t="e">
        <f>AND(Sheet1!#REF!,"AAAAAF3/Pf4=")</f>
        <v>#REF!</v>
      </c>
      <c r="IV3" t="e">
        <f>AND(Sheet1!#REF!,"AAAAAF3/Pf8=")</f>
        <v>#REF!</v>
      </c>
    </row>
    <row r="4" spans="1:256" ht="12.75">
      <c r="A4" t="e">
        <f>AND(Sheet1!#REF!,"AAAAAHTr1wA=")</f>
        <v>#REF!</v>
      </c>
      <c r="B4" t="e">
        <f>AND(Sheet1!#REF!,"AAAAAHTr1wE=")</f>
        <v>#REF!</v>
      </c>
      <c r="C4" t="e">
        <f>AND(Sheet1!#REF!,"AAAAAHTr1wI=")</f>
        <v>#REF!</v>
      </c>
      <c r="D4" t="e">
        <f>AND(Sheet1!#REF!,"AAAAAHTr1wM=")</f>
        <v>#REF!</v>
      </c>
      <c r="E4" t="e">
        <f>AND(Sheet1!#REF!,"AAAAAHTr1wQ=")</f>
        <v>#REF!</v>
      </c>
      <c r="F4" t="e">
        <f>AND(Sheet1!#REF!,"AAAAAHTr1wU=")</f>
        <v>#REF!</v>
      </c>
      <c r="G4" t="e">
        <f>AND(Sheet1!#REF!,"AAAAAHTr1wY=")</f>
        <v>#REF!</v>
      </c>
      <c r="H4" t="e">
        <f>AND(Sheet1!#REF!,"AAAAAHTr1wc=")</f>
        <v>#REF!</v>
      </c>
      <c r="I4" t="e">
        <f>AND(Sheet1!#REF!,"AAAAAHTr1wg=")</f>
        <v>#REF!</v>
      </c>
      <c r="J4" t="e">
        <f>AND(Sheet1!#REF!,"AAAAAHTr1wk=")</f>
        <v>#REF!</v>
      </c>
      <c r="K4" t="e">
        <f>AND(Sheet1!#REF!,"AAAAAHTr1wo=")</f>
        <v>#REF!</v>
      </c>
      <c r="L4" t="e">
        <f>AND(Sheet1!#REF!,"AAAAAHTr1ws=")</f>
        <v>#REF!</v>
      </c>
      <c r="M4" t="e">
        <f>AND(Sheet1!#REF!,"AAAAAHTr1ww=")</f>
        <v>#REF!</v>
      </c>
      <c r="N4" t="e">
        <f>AND(Sheet1!#REF!,"AAAAAHTr1w0=")</f>
        <v>#REF!</v>
      </c>
      <c r="O4" t="e">
        <f>IF(Sheet1!#REF!,"AAAAAHTr1w4=",0)</f>
        <v>#REF!</v>
      </c>
      <c r="P4" t="e">
        <f>AND(Sheet1!#REF!,"AAAAAHTr1w8=")</f>
        <v>#REF!</v>
      </c>
      <c r="Q4" t="e">
        <f>AND(Sheet1!#REF!,"AAAAAHTr1xA=")</f>
        <v>#REF!</v>
      </c>
      <c r="R4" t="e">
        <f>AND(Sheet1!#REF!,"AAAAAHTr1xE=")</f>
        <v>#REF!</v>
      </c>
      <c r="S4" t="e">
        <f>AND(Sheet1!#REF!,"AAAAAHTr1xI=")</f>
        <v>#REF!</v>
      </c>
      <c r="T4" t="e">
        <f>AND(Sheet1!#REF!,"AAAAAHTr1xM=")</f>
        <v>#REF!</v>
      </c>
      <c r="U4" t="e">
        <f>AND(Sheet1!#REF!,"AAAAAHTr1xQ=")</f>
        <v>#REF!</v>
      </c>
      <c r="V4" t="e">
        <f>AND(Sheet1!#REF!,"AAAAAHTr1xU=")</f>
        <v>#REF!</v>
      </c>
      <c r="W4" t="e">
        <f>AND(Sheet1!#REF!,"AAAAAHTr1xY=")</f>
        <v>#REF!</v>
      </c>
      <c r="X4" t="e">
        <f>AND(Sheet1!#REF!,"AAAAAHTr1xc=")</f>
        <v>#REF!</v>
      </c>
      <c r="Y4" t="e">
        <f>AND(Sheet1!#REF!,"AAAAAHTr1xg=")</f>
        <v>#REF!</v>
      </c>
      <c r="Z4" t="e">
        <f>AND(Sheet1!#REF!,"AAAAAHTr1xk=")</f>
        <v>#REF!</v>
      </c>
      <c r="AA4" t="e">
        <f>AND(Sheet1!#REF!,"AAAAAHTr1xo=")</f>
        <v>#REF!</v>
      </c>
      <c r="AB4" t="e">
        <f>AND(Sheet1!#REF!,"AAAAAHTr1xs=")</f>
        <v>#REF!</v>
      </c>
      <c r="AC4" t="e">
        <f>AND(Sheet1!#REF!,"AAAAAHTr1xw=")</f>
        <v>#REF!</v>
      </c>
      <c r="AD4" t="e">
        <f>AND(Sheet1!#REF!,"AAAAAHTr1x0=")</f>
        <v>#REF!</v>
      </c>
      <c r="AE4" t="e">
        <f>AND(Sheet1!#REF!,"AAAAAHTr1x4=")</f>
        <v>#REF!</v>
      </c>
      <c r="AF4" t="e">
        <f>AND(Sheet1!#REF!,"AAAAAHTr1x8=")</f>
        <v>#REF!</v>
      </c>
      <c r="AG4" t="e">
        <f>AND(Sheet1!#REF!,"AAAAAHTr1yA=")</f>
        <v>#REF!</v>
      </c>
      <c r="AH4" t="e">
        <f>AND(Sheet1!#REF!,"AAAAAHTr1yE=")</f>
        <v>#REF!</v>
      </c>
      <c r="AI4" t="e">
        <f>AND(Sheet1!#REF!,"AAAAAHTr1yI=")</f>
        <v>#REF!</v>
      </c>
      <c r="AJ4" t="e">
        <f>AND(Sheet1!#REF!,"AAAAAHTr1yM=")</f>
        <v>#REF!</v>
      </c>
      <c r="AK4" t="e">
        <f>AND(Sheet1!#REF!,"AAAAAHTr1yQ=")</f>
        <v>#REF!</v>
      </c>
      <c r="AL4">
        <f>IF(Sheet1!31:31,"AAAAAHTr1yU=",0)</f>
        <v>0</v>
      </c>
      <c r="AM4" t="e">
        <f>AND(Sheet1!A31,"AAAAAHTr1yY=")</f>
        <v>#VALUE!</v>
      </c>
      <c r="AN4" t="e">
        <f>AND(Sheet1!B31,"AAAAAHTr1yc=")</f>
        <v>#VALUE!</v>
      </c>
      <c r="AO4" t="e">
        <f>AND(Sheet1!C31,"AAAAAHTr1yg=")</f>
        <v>#VALUE!</v>
      </c>
      <c r="AP4" t="e">
        <f>AND(Sheet1!D31,"AAAAAHTr1yk=")</f>
        <v>#VALUE!</v>
      </c>
      <c r="AQ4" t="e">
        <f>AND(Sheet1!E31,"AAAAAHTr1yo=")</f>
        <v>#VALUE!</v>
      </c>
      <c r="AR4" t="e">
        <f>AND(Sheet1!#REF!,"AAAAAHTr1ys=")</f>
        <v>#REF!</v>
      </c>
      <c r="AS4" t="e">
        <f>AND(Sheet1!G31,"AAAAAHTr1yw=")</f>
        <v>#VALUE!</v>
      </c>
      <c r="AT4" t="e">
        <f>AND(Sheet1!I31,"AAAAAHTr1y0=")</f>
        <v>#VALUE!</v>
      </c>
      <c r="AU4" t="e">
        <f>AND(Sheet1!J31,"AAAAAHTr1y4=")</f>
        <v>#VALUE!</v>
      </c>
      <c r="AV4" t="e">
        <f>AND(Sheet1!K31,"AAAAAHTr1y8=")</f>
        <v>#VALUE!</v>
      </c>
      <c r="AW4" t="e">
        <f>AND(Sheet1!L31,"AAAAAHTr1zA=")</f>
        <v>#VALUE!</v>
      </c>
      <c r="AX4" t="e">
        <f>AND(Sheet1!M31,"AAAAAHTr1zE=")</f>
        <v>#VALUE!</v>
      </c>
      <c r="AY4" t="e">
        <f>AND(Sheet1!N31,"AAAAAHTr1zI=")</f>
        <v>#VALUE!</v>
      </c>
      <c r="AZ4" t="e">
        <f>AND(Sheet1!O31,"AAAAAHTr1zM=")</f>
        <v>#VALUE!</v>
      </c>
      <c r="BA4" t="e">
        <f>AND(Sheet1!P31,"AAAAAHTr1zQ=")</f>
        <v>#VALUE!</v>
      </c>
      <c r="BB4" t="e">
        <f>AND(Sheet1!Q31,"AAAAAHTr1zU=")</f>
        <v>#VALUE!</v>
      </c>
      <c r="BC4" t="e">
        <f>AND(Sheet1!R31,"AAAAAHTr1zY=")</f>
        <v>#VALUE!</v>
      </c>
      <c r="BD4" t="e">
        <f>AND(Sheet1!S31,"AAAAAHTr1zc=")</f>
        <v>#VALUE!</v>
      </c>
      <c r="BE4" t="e">
        <f>AND(Sheet1!T31,"AAAAAHTr1zg=")</f>
        <v>#VALUE!</v>
      </c>
      <c r="BF4" t="e">
        <f>AND(Sheet1!U31,"AAAAAHTr1zk=")</f>
        <v>#VALUE!</v>
      </c>
      <c r="BG4" t="e">
        <f>AND(Sheet1!V31,"AAAAAHTr1zo=")</f>
        <v>#VALUE!</v>
      </c>
      <c r="BH4" t="e">
        <f>AND(Sheet1!W31,"AAAAAHTr1zs=")</f>
        <v>#VALUE!</v>
      </c>
      <c r="BI4">
        <f>IF(Sheet1!30:30,"AAAAAHTr1zw=",0)</f>
        <v>0</v>
      </c>
      <c r="BJ4" t="e">
        <f>AND(Sheet1!A30,"AAAAAHTr1z0=")</f>
        <v>#VALUE!</v>
      </c>
      <c r="BK4" t="e">
        <f>AND(Sheet1!B30,"AAAAAHTr1z4=")</f>
        <v>#VALUE!</v>
      </c>
      <c r="BL4" t="e">
        <f>AND(Sheet1!C30,"AAAAAHTr1z8=")</f>
        <v>#VALUE!</v>
      </c>
      <c r="BM4" t="e">
        <f>AND(Sheet1!D30,"AAAAAHTr10A=")</f>
        <v>#VALUE!</v>
      </c>
      <c r="BN4" t="e">
        <f>AND(Sheet1!E30,"AAAAAHTr10E=")</f>
        <v>#VALUE!</v>
      </c>
      <c r="BO4" t="e">
        <f>AND(Sheet1!#REF!,"AAAAAHTr10I=")</f>
        <v>#REF!</v>
      </c>
      <c r="BP4" t="e">
        <f>AND(Sheet1!G30,"AAAAAHTr10M=")</f>
        <v>#VALUE!</v>
      </c>
      <c r="BQ4" t="e">
        <f>AND(Sheet1!I30,"AAAAAHTr10Q=")</f>
        <v>#VALUE!</v>
      </c>
      <c r="BR4" t="e">
        <f>AND(Sheet1!J30,"AAAAAHTr10U=")</f>
        <v>#VALUE!</v>
      </c>
      <c r="BS4" t="e">
        <f>AND(Sheet1!K30,"AAAAAHTr10Y=")</f>
        <v>#VALUE!</v>
      </c>
      <c r="BT4" t="e">
        <f>AND(Sheet1!L30,"AAAAAHTr10c=")</f>
        <v>#VALUE!</v>
      </c>
      <c r="BU4" t="e">
        <f>AND(Sheet1!M30,"AAAAAHTr10g=")</f>
        <v>#VALUE!</v>
      </c>
      <c r="BV4" t="e">
        <f>AND(Sheet1!N30,"AAAAAHTr10k=")</f>
        <v>#VALUE!</v>
      </c>
      <c r="BW4" t="e">
        <f>AND(Sheet1!O30,"AAAAAHTr10o=")</f>
        <v>#VALUE!</v>
      </c>
      <c r="BX4" t="e">
        <f>AND(Sheet1!P30,"AAAAAHTr10s=")</f>
        <v>#VALUE!</v>
      </c>
      <c r="BY4" t="e">
        <f>AND(Sheet1!Q30,"AAAAAHTr10w=")</f>
        <v>#VALUE!</v>
      </c>
      <c r="BZ4" t="e">
        <f>AND(Sheet1!R30,"AAAAAHTr100=")</f>
        <v>#VALUE!</v>
      </c>
      <c r="CA4" t="e">
        <f>AND(Sheet1!S30,"AAAAAHTr104=")</f>
        <v>#VALUE!</v>
      </c>
      <c r="CB4" t="e">
        <f>AND(Sheet1!T30,"AAAAAHTr108=")</f>
        <v>#VALUE!</v>
      </c>
      <c r="CC4" t="e">
        <f>AND(Sheet1!U30,"AAAAAHTr11A=")</f>
        <v>#VALUE!</v>
      </c>
      <c r="CD4" t="e">
        <f>AND(Sheet1!V30,"AAAAAHTr11E=")</f>
        <v>#VALUE!</v>
      </c>
      <c r="CE4" t="e">
        <f>AND(Sheet1!W30,"AAAAAHTr11I=")</f>
        <v>#VALUE!</v>
      </c>
      <c r="CF4">
        <f>IF(Sheet1!27:27,"AAAAAHTr11M=",0)</f>
        <v>0</v>
      </c>
      <c r="CG4" t="e">
        <f>AND(Sheet1!A27,"AAAAAHTr11Q=")</f>
        <v>#VALUE!</v>
      </c>
      <c r="CH4" t="e">
        <f>AND(Sheet1!B27,"AAAAAHTr11U=")</f>
        <v>#VALUE!</v>
      </c>
      <c r="CI4" t="e">
        <f>AND(Sheet1!C27,"AAAAAHTr11Y=")</f>
        <v>#VALUE!</v>
      </c>
      <c r="CJ4" t="e">
        <f>AND(Sheet1!D27,"AAAAAHTr11c=")</f>
        <v>#VALUE!</v>
      </c>
      <c r="CK4" t="e">
        <f>AND(Sheet1!E27,"AAAAAHTr11g=")</f>
        <v>#VALUE!</v>
      </c>
      <c r="CL4" t="e">
        <f>AND(Sheet1!#REF!,"AAAAAHTr11k=")</f>
        <v>#REF!</v>
      </c>
      <c r="CM4" t="e">
        <f>AND(Sheet1!G27,"AAAAAHTr11o=")</f>
        <v>#VALUE!</v>
      </c>
      <c r="CN4" t="e">
        <f>AND(Sheet1!I27,"AAAAAHTr11s=")</f>
        <v>#VALUE!</v>
      </c>
      <c r="CO4" t="e">
        <f>AND(Sheet1!J27,"AAAAAHTr11w=")</f>
        <v>#VALUE!</v>
      </c>
      <c r="CP4" t="e">
        <f>AND(Sheet1!K27,"AAAAAHTr110=")</f>
        <v>#VALUE!</v>
      </c>
      <c r="CQ4" t="e">
        <f>AND(Sheet1!L27,"AAAAAHTr114=")</f>
        <v>#VALUE!</v>
      </c>
      <c r="CR4" t="e">
        <f>AND(Sheet1!M27,"AAAAAHTr118=")</f>
        <v>#VALUE!</v>
      </c>
      <c r="CS4" t="e">
        <f>AND(Sheet1!N27,"AAAAAHTr12A=")</f>
        <v>#VALUE!</v>
      </c>
      <c r="CT4" t="e">
        <f>AND(Sheet1!O27,"AAAAAHTr12E=")</f>
        <v>#VALUE!</v>
      </c>
      <c r="CU4" t="e">
        <f>AND(Sheet1!P27,"AAAAAHTr12I=")</f>
        <v>#VALUE!</v>
      </c>
      <c r="CV4" t="e">
        <f>AND(Sheet1!Q27,"AAAAAHTr12M=")</f>
        <v>#VALUE!</v>
      </c>
      <c r="CW4" t="e">
        <f>AND(Sheet1!R27,"AAAAAHTr12Q=")</f>
        <v>#VALUE!</v>
      </c>
      <c r="CX4" t="e">
        <f>AND(Sheet1!S27,"AAAAAHTr12U=")</f>
        <v>#VALUE!</v>
      </c>
      <c r="CY4" t="e">
        <f>AND(Sheet1!T27,"AAAAAHTr12Y=")</f>
        <v>#VALUE!</v>
      </c>
      <c r="CZ4" t="e">
        <f>AND(Sheet1!U27,"AAAAAHTr12c=")</f>
        <v>#VALUE!</v>
      </c>
      <c r="DA4" t="e">
        <f>AND(Sheet1!V27,"AAAAAHTr12g=")</f>
        <v>#VALUE!</v>
      </c>
      <c r="DB4" t="e">
        <f>AND(Sheet1!W27,"AAAAAHTr12k=")</f>
        <v>#VALUE!</v>
      </c>
      <c r="DC4">
        <f>IF(Sheet1!24:24,"AAAAAHTr12o=",0)</f>
        <v>0</v>
      </c>
      <c r="DD4" t="e">
        <f>AND(Sheet1!A24,"AAAAAHTr12s=")</f>
        <v>#VALUE!</v>
      </c>
      <c r="DE4" t="e">
        <f>AND(Sheet1!B24,"AAAAAHTr12w=")</f>
        <v>#VALUE!</v>
      </c>
      <c r="DF4" t="e">
        <f>AND(Sheet1!C24,"AAAAAHTr120=")</f>
        <v>#VALUE!</v>
      </c>
      <c r="DG4" t="e">
        <f>AND(Sheet1!D24,"AAAAAHTr124=")</f>
        <v>#VALUE!</v>
      </c>
      <c r="DH4" t="e">
        <f>AND(Sheet1!E24,"AAAAAHTr128=")</f>
        <v>#VALUE!</v>
      </c>
      <c r="DI4" t="e">
        <f>AND(Sheet1!#REF!,"AAAAAHTr13A=")</f>
        <v>#REF!</v>
      </c>
      <c r="DJ4" t="e">
        <f>AND(Sheet1!G24,"AAAAAHTr13E=")</f>
        <v>#VALUE!</v>
      </c>
      <c r="DK4" t="e">
        <f>AND(Sheet1!I24,"AAAAAHTr13I=")</f>
        <v>#VALUE!</v>
      </c>
      <c r="DL4" t="e">
        <f>AND(Sheet1!J24,"AAAAAHTr13M=")</f>
        <v>#VALUE!</v>
      </c>
      <c r="DM4" t="e">
        <f>AND(Sheet1!K24,"AAAAAHTr13Q=")</f>
        <v>#VALUE!</v>
      </c>
      <c r="DN4" t="e">
        <f>AND(Sheet1!L24,"AAAAAHTr13U=")</f>
        <v>#VALUE!</v>
      </c>
      <c r="DO4" t="e">
        <f>AND(Sheet1!M24,"AAAAAHTr13Y=")</f>
        <v>#VALUE!</v>
      </c>
      <c r="DP4" t="e">
        <f>AND(Sheet1!N24,"AAAAAHTr13c=")</f>
        <v>#VALUE!</v>
      </c>
      <c r="DQ4" t="e">
        <f>AND(Sheet1!O24,"AAAAAHTr13g=")</f>
        <v>#VALUE!</v>
      </c>
      <c r="DR4" t="e">
        <f>AND(Sheet1!P24,"AAAAAHTr13k=")</f>
        <v>#VALUE!</v>
      </c>
      <c r="DS4" t="e">
        <f>AND(Sheet1!Q24,"AAAAAHTr13o=")</f>
        <v>#VALUE!</v>
      </c>
      <c r="DT4" t="e">
        <f>AND(Sheet1!R24,"AAAAAHTr13s=")</f>
        <v>#VALUE!</v>
      </c>
      <c r="DU4" t="e">
        <f>AND(Sheet1!S24,"AAAAAHTr13w=")</f>
        <v>#VALUE!</v>
      </c>
      <c r="DV4" t="e">
        <f>AND(Sheet1!T24,"AAAAAHTr130=")</f>
        <v>#VALUE!</v>
      </c>
      <c r="DW4" t="e">
        <f>AND(Sheet1!U24,"AAAAAHTr134=")</f>
        <v>#VALUE!</v>
      </c>
      <c r="DX4" t="e">
        <f>AND(Sheet1!V24,"AAAAAHTr138=")</f>
        <v>#VALUE!</v>
      </c>
      <c r="DY4" t="e">
        <f>AND(Sheet1!W24,"AAAAAHTr14A=")</f>
        <v>#VALUE!</v>
      </c>
      <c r="DZ4">
        <f>IF(Sheet1!38:38,"AAAAAHTr14E=",0)</f>
        <v>0</v>
      </c>
      <c r="EA4" t="e">
        <f>AND(Sheet1!A38,"AAAAAHTr14I=")</f>
        <v>#VALUE!</v>
      </c>
      <c r="EB4" t="e">
        <f>AND(Sheet1!B38,"AAAAAHTr14M=")</f>
        <v>#VALUE!</v>
      </c>
      <c r="EC4" t="e">
        <f>AND(Sheet1!C38,"AAAAAHTr14Q=")</f>
        <v>#VALUE!</v>
      </c>
      <c r="ED4" t="e">
        <f>AND(Sheet1!D38,"AAAAAHTr14U=")</f>
        <v>#VALUE!</v>
      </c>
      <c r="EE4" t="e">
        <f>AND(Sheet1!E38,"AAAAAHTr14Y=")</f>
        <v>#VALUE!</v>
      </c>
      <c r="EF4" t="e">
        <f>AND(Sheet1!#REF!,"AAAAAHTr14c=")</f>
        <v>#REF!</v>
      </c>
      <c r="EG4" t="e">
        <f>AND(Sheet1!G38,"AAAAAHTr14g=")</f>
        <v>#VALUE!</v>
      </c>
      <c r="EH4" t="e">
        <f>AND(Sheet1!I38,"AAAAAHTr14k=")</f>
        <v>#VALUE!</v>
      </c>
      <c r="EI4" t="e">
        <f>AND(Sheet1!J38,"AAAAAHTr14o=")</f>
        <v>#VALUE!</v>
      </c>
      <c r="EJ4" t="e">
        <f>AND(Sheet1!K38,"AAAAAHTr14s=")</f>
        <v>#VALUE!</v>
      </c>
      <c r="EK4" t="e">
        <f>AND(Sheet1!L38,"AAAAAHTr14w=")</f>
        <v>#VALUE!</v>
      </c>
      <c r="EL4" t="e">
        <f>AND(Sheet1!M38,"AAAAAHTr140=")</f>
        <v>#VALUE!</v>
      </c>
      <c r="EM4" t="e">
        <f>AND(Sheet1!N38,"AAAAAHTr144=")</f>
        <v>#VALUE!</v>
      </c>
      <c r="EN4" t="e">
        <f>AND(Sheet1!O38,"AAAAAHTr148=")</f>
        <v>#VALUE!</v>
      </c>
      <c r="EO4" t="e">
        <f>AND(Sheet1!P38,"AAAAAHTr15A=")</f>
        <v>#VALUE!</v>
      </c>
      <c r="EP4" t="e">
        <f>AND(Sheet1!Q38,"AAAAAHTr15E=")</f>
        <v>#VALUE!</v>
      </c>
      <c r="EQ4" t="e">
        <f>AND(Sheet1!R38,"AAAAAHTr15I=")</f>
        <v>#VALUE!</v>
      </c>
      <c r="ER4" t="e">
        <f>AND(Sheet1!S38,"AAAAAHTr15M=")</f>
        <v>#VALUE!</v>
      </c>
      <c r="ES4" t="e">
        <f>AND(Sheet1!T38,"AAAAAHTr15Q=")</f>
        <v>#VALUE!</v>
      </c>
      <c r="ET4" t="e">
        <f>AND(Sheet1!U38,"AAAAAHTr15U=")</f>
        <v>#VALUE!</v>
      </c>
      <c r="EU4" t="e">
        <f>AND(Sheet1!V38,"AAAAAHTr15Y=")</f>
        <v>#VALUE!</v>
      </c>
      <c r="EV4" t="e">
        <f>AND(Sheet1!W38,"AAAAAHTr15c=")</f>
        <v>#VALUE!</v>
      </c>
      <c r="EW4" t="e">
        <f>IF(Sheet1!#REF!,"AAAAAHTr15g=",0)</f>
        <v>#REF!</v>
      </c>
      <c r="EX4" t="e">
        <f>AND(Sheet1!#REF!,"AAAAAHTr15k=")</f>
        <v>#REF!</v>
      </c>
      <c r="EY4" t="e">
        <f>AND(Sheet1!#REF!,"AAAAAHTr15o=")</f>
        <v>#REF!</v>
      </c>
      <c r="EZ4" t="e">
        <f>AND(Sheet1!#REF!,"AAAAAHTr15s=")</f>
        <v>#REF!</v>
      </c>
      <c r="FA4" t="e">
        <f>AND(Sheet1!#REF!,"AAAAAHTr15w=")</f>
        <v>#REF!</v>
      </c>
      <c r="FB4" t="e">
        <f>AND(Sheet1!#REF!,"AAAAAHTr150=")</f>
        <v>#REF!</v>
      </c>
      <c r="FC4" t="e">
        <f>AND(Sheet1!#REF!,"AAAAAHTr154=")</f>
        <v>#REF!</v>
      </c>
      <c r="FD4" t="e">
        <f>AND(Sheet1!#REF!,"AAAAAHTr158=")</f>
        <v>#REF!</v>
      </c>
      <c r="FE4" t="e">
        <f>AND(Sheet1!#REF!,"AAAAAHTr16A=")</f>
        <v>#REF!</v>
      </c>
      <c r="FF4" t="e">
        <f>AND(Sheet1!#REF!,"AAAAAHTr16E=")</f>
        <v>#REF!</v>
      </c>
      <c r="FG4" t="e">
        <f>AND(Sheet1!#REF!,"AAAAAHTr16I=")</f>
        <v>#REF!</v>
      </c>
      <c r="FH4" t="e">
        <f>AND(Sheet1!#REF!,"AAAAAHTr16M=")</f>
        <v>#REF!</v>
      </c>
      <c r="FI4" t="e">
        <f>AND(Sheet1!#REF!,"AAAAAHTr16Q=")</f>
        <v>#REF!</v>
      </c>
      <c r="FJ4" t="e">
        <f>AND(Sheet1!#REF!,"AAAAAHTr16U=")</f>
        <v>#REF!</v>
      </c>
      <c r="FK4" t="e">
        <f>AND(Sheet1!#REF!,"AAAAAHTr16Y=")</f>
        <v>#REF!</v>
      </c>
      <c r="FL4" t="e">
        <f>AND(Sheet1!#REF!,"AAAAAHTr16c=")</f>
        <v>#REF!</v>
      </c>
      <c r="FM4" t="e">
        <f>AND(Sheet1!#REF!,"AAAAAHTr16g=")</f>
        <v>#REF!</v>
      </c>
      <c r="FN4" t="e">
        <f>AND(Sheet1!#REF!,"AAAAAHTr16k=")</f>
        <v>#REF!</v>
      </c>
      <c r="FO4" t="e">
        <f>AND(Sheet1!#REF!,"AAAAAHTr16o=")</f>
        <v>#REF!</v>
      </c>
      <c r="FP4" t="e">
        <f>AND(Sheet1!#REF!,"AAAAAHTr16s=")</f>
        <v>#REF!</v>
      </c>
      <c r="FQ4" t="e">
        <f>AND(Sheet1!#REF!,"AAAAAHTr16w=")</f>
        <v>#REF!</v>
      </c>
      <c r="FR4" t="e">
        <f>AND(Sheet1!#REF!,"AAAAAHTr160=")</f>
        <v>#REF!</v>
      </c>
      <c r="FS4" t="e">
        <f>AND(Sheet1!#REF!,"AAAAAHTr164=")</f>
        <v>#REF!</v>
      </c>
      <c r="FT4" t="e">
        <f>IF(Sheet1!#REF!,"AAAAAHTr168=",0)</f>
        <v>#REF!</v>
      </c>
      <c r="FU4" t="e">
        <f>AND(Sheet1!#REF!,"AAAAAHTr17A=")</f>
        <v>#REF!</v>
      </c>
      <c r="FV4" t="e">
        <f>AND(Sheet1!#REF!,"AAAAAHTr17E=")</f>
        <v>#REF!</v>
      </c>
      <c r="FW4" t="e">
        <f>AND(Sheet1!#REF!,"AAAAAHTr17I=")</f>
        <v>#REF!</v>
      </c>
      <c r="FX4" t="e">
        <f>AND(Sheet1!#REF!,"AAAAAHTr17M=")</f>
        <v>#REF!</v>
      </c>
      <c r="FY4" t="e">
        <f>AND(Sheet1!#REF!,"AAAAAHTr17Q=")</f>
        <v>#REF!</v>
      </c>
      <c r="FZ4" t="e">
        <f>AND(Sheet1!#REF!,"AAAAAHTr17U=")</f>
        <v>#REF!</v>
      </c>
      <c r="GA4" t="e">
        <f>AND(Sheet1!#REF!,"AAAAAHTr17Y=")</f>
        <v>#REF!</v>
      </c>
      <c r="GB4" t="e">
        <f>AND(Sheet1!#REF!,"AAAAAHTr17c=")</f>
        <v>#REF!</v>
      </c>
      <c r="GC4" t="e">
        <f>AND(Sheet1!#REF!,"AAAAAHTr17g=")</f>
        <v>#REF!</v>
      </c>
      <c r="GD4" t="e">
        <f>AND(Sheet1!#REF!,"AAAAAHTr17k=")</f>
        <v>#REF!</v>
      </c>
      <c r="GE4" t="e">
        <f>AND(Sheet1!#REF!,"AAAAAHTr17o=")</f>
        <v>#REF!</v>
      </c>
      <c r="GF4" t="e">
        <f>AND(Sheet1!#REF!,"AAAAAHTr17s=")</f>
        <v>#REF!</v>
      </c>
      <c r="GG4" t="e">
        <f>AND(Sheet1!#REF!,"AAAAAHTr17w=")</f>
        <v>#REF!</v>
      </c>
      <c r="GH4" t="e">
        <f>AND(Sheet1!#REF!,"AAAAAHTr170=")</f>
        <v>#REF!</v>
      </c>
      <c r="GI4" t="e">
        <f>AND(Sheet1!#REF!,"AAAAAHTr174=")</f>
        <v>#REF!</v>
      </c>
      <c r="GJ4" t="e">
        <f>AND(Sheet1!#REF!,"AAAAAHTr178=")</f>
        <v>#REF!</v>
      </c>
      <c r="GK4" t="e">
        <f>AND(Sheet1!#REF!,"AAAAAHTr18A=")</f>
        <v>#REF!</v>
      </c>
      <c r="GL4" t="e">
        <f>AND(Sheet1!#REF!,"AAAAAHTr18E=")</f>
        <v>#REF!</v>
      </c>
      <c r="GM4" t="e">
        <f>AND(Sheet1!#REF!,"AAAAAHTr18I=")</f>
        <v>#REF!</v>
      </c>
      <c r="GN4" t="e">
        <f>AND(Sheet1!#REF!,"AAAAAHTr18M=")</f>
        <v>#REF!</v>
      </c>
      <c r="GO4" t="e">
        <f>AND(Sheet1!#REF!,"AAAAAHTr18Q=")</f>
        <v>#REF!</v>
      </c>
      <c r="GP4" t="e">
        <f>AND(Sheet1!#REF!,"AAAAAHTr18U=")</f>
        <v>#REF!</v>
      </c>
      <c r="GQ4" t="e">
        <f>IF(Sheet1!#REF!,"AAAAAHTr18Y=",0)</f>
        <v>#REF!</v>
      </c>
      <c r="GR4" t="e">
        <f>AND(Sheet1!#REF!,"AAAAAHTr18c=")</f>
        <v>#REF!</v>
      </c>
      <c r="GS4" t="e">
        <f>AND(Sheet1!#REF!,"AAAAAHTr18g=")</f>
        <v>#REF!</v>
      </c>
      <c r="GT4" t="e">
        <f>AND(Sheet1!#REF!,"AAAAAHTr18k=")</f>
        <v>#REF!</v>
      </c>
      <c r="GU4" t="e">
        <f>AND(Sheet1!#REF!,"AAAAAHTr18o=")</f>
        <v>#REF!</v>
      </c>
      <c r="GV4" t="e">
        <f>AND(Sheet1!#REF!,"AAAAAHTr18s=")</f>
        <v>#REF!</v>
      </c>
      <c r="GW4" t="e">
        <f>AND(Sheet1!#REF!,"AAAAAHTr18w=")</f>
        <v>#REF!</v>
      </c>
      <c r="GX4" t="e">
        <f>AND(Sheet1!#REF!,"AAAAAHTr180=")</f>
        <v>#REF!</v>
      </c>
      <c r="GY4" t="e">
        <f>AND(Sheet1!#REF!,"AAAAAHTr184=")</f>
        <v>#REF!</v>
      </c>
      <c r="GZ4" t="e">
        <f>AND(Sheet1!#REF!,"AAAAAHTr188=")</f>
        <v>#REF!</v>
      </c>
      <c r="HA4" t="e">
        <f>AND(Sheet1!#REF!,"AAAAAHTr19A=")</f>
        <v>#REF!</v>
      </c>
      <c r="HB4" t="e">
        <f>AND(Sheet1!#REF!,"AAAAAHTr19E=")</f>
        <v>#REF!</v>
      </c>
      <c r="HC4" t="e">
        <f>AND(Sheet1!#REF!,"AAAAAHTr19I=")</f>
        <v>#REF!</v>
      </c>
      <c r="HD4" t="e">
        <f>AND(Sheet1!#REF!,"AAAAAHTr19M=")</f>
        <v>#REF!</v>
      </c>
      <c r="HE4" t="e">
        <f>AND(Sheet1!#REF!,"AAAAAHTr19Q=")</f>
        <v>#REF!</v>
      </c>
      <c r="HF4" t="e">
        <f>AND(Sheet1!#REF!,"AAAAAHTr19U=")</f>
        <v>#REF!</v>
      </c>
      <c r="HG4" t="e">
        <f>AND(Sheet1!#REF!,"AAAAAHTr19Y=")</f>
        <v>#REF!</v>
      </c>
      <c r="HH4" t="e">
        <f>AND(Sheet1!#REF!,"AAAAAHTr19c=")</f>
        <v>#REF!</v>
      </c>
      <c r="HI4" t="e">
        <f>AND(Sheet1!#REF!,"AAAAAHTr19g=")</f>
        <v>#REF!</v>
      </c>
      <c r="HJ4" t="e">
        <f>AND(Sheet1!#REF!,"AAAAAHTr19k=")</f>
        <v>#REF!</v>
      </c>
      <c r="HK4" t="e">
        <f>AND(Sheet1!#REF!,"AAAAAHTr19o=")</f>
        <v>#REF!</v>
      </c>
      <c r="HL4" t="e">
        <f>AND(Sheet1!#REF!,"AAAAAHTr19s=")</f>
        <v>#REF!</v>
      </c>
      <c r="HM4" t="e">
        <f>AND(Sheet1!#REF!,"AAAAAHTr19w=")</f>
        <v>#REF!</v>
      </c>
      <c r="HN4" t="e">
        <f>IF(Sheet1!#REF!,"AAAAAHTr190=",0)</f>
        <v>#REF!</v>
      </c>
      <c r="HO4" t="e">
        <f>AND(Sheet1!#REF!,"AAAAAHTr194=")</f>
        <v>#REF!</v>
      </c>
      <c r="HP4" t="e">
        <f>AND(Sheet1!#REF!,"AAAAAHTr198=")</f>
        <v>#REF!</v>
      </c>
      <c r="HQ4" t="e">
        <f>AND(Sheet1!#REF!,"AAAAAHTr1+A=")</f>
        <v>#REF!</v>
      </c>
      <c r="HR4" t="e">
        <f>AND(Sheet1!#REF!,"AAAAAHTr1+E=")</f>
        <v>#REF!</v>
      </c>
      <c r="HS4" t="e">
        <f>AND(Sheet1!#REF!,"AAAAAHTr1+I=")</f>
        <v>#REF!</v>
      </c>
      <c r="HT4" t="e">
        <f>AND(Sheet1!#REF!,"AAAAAHTr1+M=")</f>
        <v>#REF!</v>
      </c>
      <c r="HU4" t="e">
        <f>AND(Sheet1!#REF!,"AAAAAHTr1+Q=")</f>
        <v>#REF!</v>
      </c>
      <c r="HV4" t="e">
        <f>AND(Sheet1!#REF!,"AAAAAHTr1+U=")</f>
        <v>#REF!</v>
      </c>
      <c r="HW4" t="e">
        <f>AND(Sheet1!#REF!,"AAAAAHTr1+Y=")</f>
        <v>#REF!</v>
      </c>
      <c r="HX4" t="e">
        <f>AND(Sheet1!#REF!,"AAAAAHTr1+c=")</f>
        <v>#REF!</v>
      </c>
      <c r="HY4" t="e">
        <f>AND(Sheet1!#REF!,"AAAAAHTr1+g=")</f>
        <v>#REF!</v>
      </c>
      <c r="HZ4" t="e">
        <f>AND(Sheet1!#REF!,"AAAAAHTr1+k=")</f>
        <v>#REF!</v>
      </c>
      <c r="IA4" t="e">
        <f>AND(Sheet1!#REF!,"AAAAAHTr1+o=")</f>
        <v>#REF!</v>
      </c>
      <c r="IB4" t="e">
        <f>AND(Sheet1!#REF!,"AAAAAHTr1+s=")</f>
        <v>#REF!</v>
      </c>
      <c r="IC4" t="e">
        <f>AND(Sheet1!#REF!,"AAAAAHTr1+w=")</f>
        <v>#REF!</v>
      </c>
      <c r="ID4" t="e">
        <f>AND(Sheet1!#REF!,"AAAAAHTr1+0=")</f>
        <v>#REF!</v>
      </c>
      <c r="IE4" t="e">
        <f>AND(Sheet1!#REF!,"AAAAAHTr1+4=")</f>
        <v>#REF!</v>
      </c>
      <c r="IF4" t="e">
        <f>AND(Sheet1!#REF!,"AAAAAHTr1+8=")</f>
        <v>#REF!</v>
      </c>
      <c r="IG4" t="e">
        <f>AND(Sheet1!#REF!,"AAAAAHTr1/A=")</f>
        <v>#REF!</v>
      </c>
      <c r="IH4" t="e">
        <f>AND(Sheet1!#REF!,"AAAAAHTr1/E=")</f>
        <v>#REF!</v>
      </c>
      <c r="II4" t="e">
        <f>AND(Sheet1!#REF!,"AAAAAHTr1/I=")</f>
        <v>#REF!</v>
      </c>
      <c r="IJ4" t="e">
        <f>AND(Sheet1!#REF!,"AAAAAHTr1/M=")</f>
        <v>#REF!</v>
      </c>
      <c r="IK4">
        <f>IF(Sheet1!40:40,"AAAAAHTr1/Q=",0)</f>
        <v>0</v>
      </c>
      <c r="IL4" t="e">
        <f>AND(Sheet1!A40,"AAAAAHTr1/U=")</f>
        <v>#VALUE!</v>
      </c>
      <c r="IM4" t="e">
        <f>AND(Sheet1!B40,"AAAAAHTr1/Y=")</f>
        <v>#VALUE!</v>
      </c>
      <c r="IN4" t="e">
        <f>AND(Sheet1!C40,"AAAAAHTr1/c=")</f>
        <v>#VALUE!</v>
      </c>
      <c r="IO4" t="e">
        <f>AND(Sheet1!D40,"AAAAAHTr1/g=")</f>
        <v>#VALUE!</v>
      </c>
      <c r="IP4" t="e">
        <f>AND(Sheet1!E40,"AAAAAHTr1/k=")</f>
        <v>#VALUE!</v>
      </c>
      <c r="IQ4" t="e">
        <f>AND(Sheet1!#REF!,"AAAAAHTr1/o=")</f>
        <v>#REF!</v>
      </c>
      <c r="IR4" t="e">
        <f>AND(Sheet1!G40,"AAAAAHTr1/s=")</f>
        <v>#VALUE!</v>
      </c>
      <c r="IS4" t="e">
        <f>AND(Sheet1!I40,"AAAAAHTr1/w=")</f>
        <v>#VALUE!</v>
      </c>
      <c r="IT4" t="e">
        <f>AND(Sheet1!J40,"AAAAAHTr1/0=")</f>
        <v>#VALUE!</v>
      </c>
      <c r="IU4" t="e">
        <f>AND(Sheet1!K40,"AAAAAHTr1/4=")</f>
        <v>#VALUE!</v>
      </c>
      <c r="IV4" t="e">
        <f>AND(Sheet1!L40,"AAAAAHTr1/8=")</f>
        <v>#VALUE!</v>
      </c>
    </row>
    <row r="5" spans="1:256" ht="12.75">
      <c r="A5" t="e">
        <f>AND(Sheet1!M40,"AAAAACf/1AA=")</f>
        <v>#VALUE!</v>
      </c>
      <c r="B5" t="e">
        <f>AND(Sheet1!N40,"AAAAACf/1AE=")</f>
        <v>#VALUE!</v>
      </c>
      <c r="C5" t="e">
        <f>AND(Sheet1!O40,"AAAAACf/1AI=")</f>
        <v>#VALUE!</v>
      </c>
      <c r="D5" t="e">
        <f>AND(Sheet1!P40,"AAAAACf/1AM=")</f>
        <v>#VALUE!</v>
      </c>
      <c r="E5" t="e">
        <f>AND(Sheet1!Q40,"AAAAACf/1AQ=")</f>
        <v>#VALUE!</v>
      </c>
      <c r="F5" t="e">
        <f>AND(Sheet1!R40,"AAAAACf/1AU=")</f>
        <v>#VALUE!</v>
      </c>
      <c r="G5" t="e">
        <f>AND(Sheet1!S40,"AAAAACf/1AY=")</f>
        <v>#VALUE!</v>
      </c>
      <c r="H5" t="e">
        <f>AND(Sheet1!T40,"AAAAACf/1Ac=")</f>
        <v>#VALUE!</v>
      </c>
      <c r="I5" t="e">
        <f>AND(Sheet1!U40,"AAAAACf/1Ag=")</f>
        <v>#VALUE!</v>
      </c>
      <c r="J5" t="e">
        <f>AND(Sheet1!V40,"AAAAACf/1Ak=")</f>
        <v>#VALUE!</v>
      </c>
      <c r="K5" t="e">
        <f>AND(Sheet1!W40,"AAAAACf/1Ao=")</f>
        <v>#VALUE!</v>
      </c>
      <c r="L5" t="e">
        <f>IF(Sheet1!#REF!,"AAAAACf/1As=",0)</f>
        <v>#REF!</v>
      </c>
      <c r="M5" t="e">
        <f>AND(Sheet1!#REF!,"AAAAACf/1Aw=")</f>
        <v>#REF!</v>
      </c>
      <c r="N5" t="e">
        <f>AND(Sheet1!#REF!,"AAAAACf/1A0=")</f>
        <v>#REF!</v>
      </c>
      <c r="O5" t="e">
        <f>AND(Sheet1!#REF!,"AAAAACf/1A4=")</f>
        <v>#REF!</v>
      </c>
      <c r="P5" t="e">
        <f>AND(Sheet1!#REF!,"AAAAACf/1A8=")</f>
        <v>#REF!</v>
      </c>
      <c r="Q5" t="e">
        <f>AND(Sheet1!#REF!,"AAAAACf/1BA=")</f>
        <v>#REF!</v>
      </c>
      <c r="R5" t="e">
        <f>AND(Sheet1!#REF!,"AAAAACf/1BE=")</f>
        <v>#REF!</v>
      </c>
      <c r="S5" t="e">
        <f>AND(Sheet1!#REF!,"AAAAACf/1BI=")</f>
        <v>#REF!</v>
      </c>
      <c r="T5" t="e">
        <f>AND(Sheet1!#REF!,"AAAAACf/1BM=")</f>
        <v>#REF!</v>
      </c>
      <c r="U5" t="e">
        <f>AND(Sheet1!#REF!,"AAAAACf/1BQ=")</f>
        <v>#REF!</v>
      </c>
      <c r="V5" t="e">
        <f>AND(Sheet1!#REF!,"AAAAACf/1BU=")</f>
        <v>#REF!</v>
      </c>
      <c r="W5" t="e">
        <f>AND(Sheet1!#REF!,"AAAAACf/1BY=")</f>
        <v>#REF!</v>
      </c>
      <c r="X5" t="e">
        <f>AND(Sheet1!#REF!,"AAAAACf/1Bc=")</f>
        <v>#REF!</v>
      </c>
      <c r="Y5" t="e">
        <f>AND(Sheet1!#REF!,"AAAAACf/1Bg=")</f>
        <v>#REF!</v>
      </c>
      <c r="Z5" t="e">
        <f>AND(Sheet1!#REF!,"AAAAACf/1Bk=")</f>
        <v>#REF!</v>
      </c>
      <c r="AA5" t="e">
        <f>AND(Sheet1!#REF!,"AAAAACf/1Bo=")</f>
        <v>#REF!</v>
      </c>
      <c r="AB5" t="e">
        <f>AND(Sheet1!#REF!,"AAAAACf/1Bs=")</f>
        <v>#REF!</v>
      </c>
      <c r="AC5" t="e">
        <f>AND(Sheet1!#REF!,"AAAAACf/1Bw=")</f>
        <v>#REF!</v>
      </c>
      <c r="AD5" t="e">
        <f>AND(Sheet1!#REF!,"AAAAACf/1B0=")</f>
        <v>#REF!</v>
      </c>
      <c r="AE5" t="e">
        <f>AND(Sheet1!#REF!,"AAAAACf/1B4=")</f>
        <v>#REF!</v>
      </c>
      <c r="AF5" t="e">
        <f>AND(Sheet1!#REF!,"AAAAACf/1B8=")</f>
        <v>#REF!</v>
      </c>
      <c r="AG5" t="e">
        <f>AND(Sheet1!#REF!,"AAAAACf/1CA=")</f>
        <v>#REF!</v>
      </c>
      <c r="AH5" t="e">
        <f>AND(Sheet1!#REF!,"AAAAACf/1CE=")</f>
        <v>#REF!</v>
      </c>
      <c r="AI5">
        <f>IF(Sheet1!46:46,"AAAAACf/1CI=",0)</f>
        <v>0</v>
      </c>
      <c r="AJ5" t="e">
        <f>AND(Sheet1!A46,"AAAAACf/1CM=")</f>
        <v>#VALUE!</v>
      </c>
      <c r="AK5" t="e">
        <f>AND(Sheet1!B46,"AAAAACf/1CQ=")</f>
        <v>#VALUE!</v>
      </c>
      <c r="AL5" t="e">
        <f>AND(Sheet1!C46,"AAAAACf/1CU=")</f>
        <v>#VALUE!</v>
      </c>
      <c r="AM5" t="e">
        <f>AND(Sheet1!D46,"AAAAACf/1CY=")</f>
        <v>#VALUE!</v>
      </c>
      <c r="AN5" t="e">
        <f>AND(Sheet1!E46,"AAAAACf/1Cc=")</f>
        <v>#VALUE!</v>
      </c>
      <c r="AO5" t="e">
        <f>AND(Sheet1!#REF!,"AAAAACf/1Cg=")</f>
        <v>#REF!</v>
      </c>
      <c r="AP5" t="e">
        <f>AND(Sheet1!G46,"AAAAACf/1Ck=")</f>
        <v>#VALUE!</v>
      </c>
      <c r="AQ5" t="e">
        <f>AND(Sheet1!I46,"AAAAACf/1Co=")</f>
        <v>#VALUE!</v>
      </c>
      <c r="AR5" t="e">
        <f>AND(Sheet1!J46,"AAAAACf/1Cs=")</f>
        <v>#VALUE!</v>
      </c>
      <c r="AS5" t="e">
        <f>AND(Sheet1!K46,"AAAAACf/1Cw=")</f>
        <v>#VALUE!</v>
      </c>
      <c r="AT5" t="e">
        <f>AND(Sheet1!L46,"AAAAACf/1C0=")</f>
        <v>#VALUE!</v>
      </c>
      <c r="AU5" t="e">
        <f>AND(Sheet1!M46,"AAAAACf/1C4=")</f>
        <v>#VALUE!</v>
      </c>
      <c r="AV5" t="e">
        <f>AND(Sheet1!N46,"AAAAACf/1C8=")</f>
        <v>#VALUE!</v>
      </c>
      <c r="AW5" t="e">
        <f>AND(Sheet1!O46,"AAAAACf/1DA=")</f>
        <v>#VALUE!</v>
      </c>
      <c r="AX5" t="e">
        <f>AND(Sheet1!P46,"AAAAACf/1DE=")</f>
        <v>#VALUE!</v>
      </c>
      <c r="AY5" t="e">
        <f>AND(Sheet1!Q46,"AAAAACf/1DI=")</f>
        <v>#VALUE!</v>
      </c>
      <c r="AZ5" t="e">
        <f>AND(Sheet1!R46,"AAAAACf/1DM=")</f>
        <v>#VALUE!</v>
      </c>
      <c r="BA5" t="e">
        <f>AND(Sheet1!S46,"AAAAACf/1DQ=")</f>
        <v>#VALUE!</v>
      </c>
      <c r="BB5" t="e">
        <f>AND(Sheet1!T46,"AAAAACf/1DU=")</f>
        <v>#VALUE!</v>
      </c>
      <c r="BC5" t="e">
        <f>AND(Sheet1!U46,"AAAAACf/1DY=")</f>
        <v>#VALUE!</v>
      </c>
      <c r="BD5" t="e">
        <f>AND(Sheet1!V46,"AAAAACf/1Dc=")</f>
        <v>#VALUE!</v>
      </c>
      <c r="BE5" t="e">
        <f>AND(Sheet1!W46,"AAAAACf/1Dg=")</f>
        <v>#VALUE!</v>
      </c>
      <c r="BF5">
        <f>IF(Sheet1!43:43,"AAAAACf/1Dk=",0)</f>
        <v>0</v>
      </c>
      <c r="BG5" t="e">
        <f>AND(Sheet1!A43,"AAAAACf/1Do=")</f>
        <v>#VALUE!</v>
      </c>
      <c r="BH5" t="e">
        <f>AND(Sheet1!B43,"AAAAACf/1Ds=")</f>
        <v>#VALUE!</v>
      </c>
      <c r="BI5" t="e">
        <f>AND(Sheet1!C43,"AAAAACf/1Dw=")</f>
        <v>#VALUE!</v>
      </c>
      <c r="BJ5" t="e">
        <f>AND(Sheet1!D43,"AAAAACf/1D0=")</f>
        <v>#VALUE!</v>
      </c>
      <c r="BK5" t="e">
        <f>AND(Sheet1!E43,"AAAAACf/1D4=")</f>
        <v>#VALUE!</v>
      </c>
      <c r="BL5" t="e">
        <f>AND(Sheet1!#REF!,"AAAAACf/1D8=")</f>
        <v>#REF!</v>
      </c>
      <c r="BM5" t="e">
        <f>AND(Sheet1!G43,"AAAAACf/1EA=")</f>
        <v>#VALUE!</v>
      </c>
      <c r="BN5" t="e">
        <f>AND(Sheet1!I43,"AAAAACf/1EE=")</f>
        <v>#VALUE!</v>
      </c>
      <c r="BO5" t="e">
        <f>AND(Sheet1!J43,"AAAAACf/1EI=")</f>
        <v>#VALUE!</v>
      </c>
      <c r="BP5" t="e">
        <f>AND(Sheet1!K43,"AAAAACf/1EM=")</f>
        <v>#VALUE!</v>
      </c>
      <c r="BQ5" t="e">
        <f>AND(Sheet1!L43,"AAAAACf/1EQ=")</f>
        <v>#VALUE!</v>
      </c>
      <c r="BR5" t="e">
        <f>AND(Sheet1!M43,"AAAAACf/1EU=")</f>
        <v>#VALUE!</v>
      </c>
      <c r="BS5" t="e">
        <f>AND(Sheet1!N43,"AAAAACf/1EY=")</f>
        <v>#VALUE!</v>
      </c>
      <c r="BT5" t="e">
        <f>AND(Sheet1!O43,"AAAAACf/1Ec=")</f>
        <v>#VALUE!</v>
      </c>
      <c r="BU5" t="e">
        <f>AND(Sheet1!P43,"AAAAACf/1Eg=")</f>
        <v>#VALUE!</v>
      </c>
      <c r="BV5" t="e">
        <f>AND(Sheet1!Q43,"AAAAACf/1Ek=")</f>
        <v>#VALUE!</v>
      </c>
      <c r="BW5" t="e">
        <f>AND(Sheet1!R43,"AAAAACf/1Eo=")</f>
        <v>#VALUE!</v>
      </c>
      <c r="BX5" t="e">
        <f>AND(Sheet1!S43,"AAAAACf/1Es=")</f>
        <v>#VALUE!</v>
      </c>
      <c r="BY5" t="e">
        <f>AND(Sheet1!T43,"AAAAACf/1Ew=")</f>
        <v>#VALUE!</v>
      </c>
      <c r="BZ5" t="e">
        <f>AND(Sheet1!U43,"AAAAACf/1E0=")</f>
        <v>#VALUE!</v>
      </c>
      <c r="CA5" t="e">
        <f>AND(Sheet1!V43,"AAAAACf/1E4=")</f>
        <v>#VALUE!</v>
      </c>
      <c r="CB5" t="e">
        <f>AND(Sheet1!W43,"AAAAACf/1E8=")</f>
        <v>#VALUE!</v>
      </c>
      <c r="CC5" t="e">
        <f>IF(Sheet1!#REF!,"AAAAACf/1FA=",0)</f>
        <v>#REF!</v>
      </c>
      <c r="CD5" t="e">
        <f>AND(Sheet1!#REF!,"AAAAACf/1FE=")</f>
        <v>#REF!</v>
      </c>
      <c r="CE5" t="e">
        <f>AND(Sheet1!#REF!,"AAAAACf/1FI=")</f>
        <v>#REF!</v>
      </c>
      <c r="CF5" t="e">
        <f>AND(Sheet1!#REF!,"AAAAACf/1FM=")</f>
        <v>#REF!</v>
      </c>
      <c r="CG5" t="e">
        <f>AND(Sheet1!#REF!,"AAAAACf/1FQ=")</f>
        <v>#REF!</v>
      </c>
      <c r="CH5" t="e">
        <f>AND(Sheet1!#REF!,"AAAAACf/1FU=")</f>
        <v>#REF!</v>
      </c>
      <c r="CI5" t="e">
        <f>AND(Sheet1!#REF!,"AAAAACf/1FY=")</f>
        <v>#REF!</v>
      </c>
      <c r="CJ5" t="e">
        <f>AND(Sheet1!#REF!,"AAAAACf/1Fc=")</f>
        <v>#REF!</v>
      </c>
      <c r="CK5" t="e">
        <f>AND(Sheet1!#REF!,"AAAAACf/1Fg=")</f>
        <v>#REF!</v>
      </c>
      <c r="CL5" t="e">
        <f>AND(Sheet1!#REF!,"AAAAACf/1Fk=")</f>
        <v>#REF!</v>
      </c>
      <c r="CM5" t="e">
        <f>AND(Sheet1!#REF!,"AAAAACf/1Fo=")</f>
        <v>#REF!</v>
      </c>
      <c r="CN5" t="e">
        <f>AND(Sheet1!#REF!,"AAAAACf/1Fs=")</f>
        <v>#REF!</v>
      </c>
      <c r="CO5" t="e">
        <f>AND(Sheet1!#REF!,"AAAAACf/1Fw=")</f>
        <v>#REF!</v>
      </c>
      <c r="CP5" t="e">
        <f>AND(Sheet1!#REF!,"AAAAACf/1F0=")</f>
        <v>#REF!</v>
      </c>
      <c r="CQ5" t="e">
        <f>AND(Sheet1!#REF!,"AAAAACf/1F4=")</f>
        <v>#REF!</v>
      </c>
      <c r="CR5" t="e">
        <f>AND(Sheet1!#REF!,"AAAAACf/1F8=")</f>
        <v>#REF!</v>
      </c>
      <c r="CS5" t="e">
        <f>AND(Sheet1!#REF!,"AAAAACf/1GA=")</f>
        <v>#REF!</v>
      </c>
      <c r="CT5" t="e">
        <f>AND(Sheet1!#REF!,"AAAAACf/1GE=")</f>
        <v>#REF!</v>
      </c>
      <c r="CU5" t="e">
        <f>AND(Sheet1!#REF!,"AAAAACf/1GI=")</f>
        <v>#REF!</v>
      </c>
      <c r="CV5" t="e">
        <f>AND(Sheet1!#REF!,"AAAAACf/1GM=")</f>
        <v>#REF!</v>
      </c>
      <c r="CW5" t="e">
        <f>AND(Sheet1!#REF!,"AAAAACf/1GQ=")</f>
        <v>#REF!</v>
      </c>
      <c r="CX5" t="e">
        <f>AND(Sheet1!#REF!,"AAAAACf/1GU=")</f>
        <v>#REF!</v>
      </c>
      <c r="CY5" t="e">
        <f>AND(Sheet1!#REF!,"AAAAACf/1GY=")</f>
        <v>#REF!</v>
      </c>
      <c r="CZ5" t="e">
        <f>IF(Sheet1!#REF!,"AAAAACf/1Gc=",0)</f>
        <v>#REF!</v>
      </c>
      <c r="DA5" t="e">
        <f>AND(Sheet1!#REF!,"AAAAACf/1Gg=")</f>
        <v>#REF!</v>
      </c>
      <c r="DB5" t="e">
        <f>AND(Sheet1!#REF!,"AAAAACf/1Gk=")</f>
        <v>#REF!</v>
      </c>
      <c r="DC5" t="e">
        <f>AND(Sheet1!#REF!,"AAAAACf/1Go=")</f>
        <v>#REF!</v>
      </c>
      <c r="DD5" t="e">
        <f>AND(Sheet1!#REF!,"AAAAACf/1Gs=")</f>
        <v>#REF!</v>
      </c>
      <c r="DE5" t="e">
        <f>AND(Sheet1!#REF!,"AAAAACf/1Gw=")</f>
        <v>#REF!</v>
      </c>
      <c r="DF5" t="e">
        <f>AND(Sheet1!#REF!,"AAAAACf/1G0=")</f>
        <v>#REF!</v>
      </c>
      <c r="DG5" t="e">
        <f>AND(Sheet1!#REF!,"AAAAACf/1G4=")</f>
        <v>#REF!</v>
      </c>
      <c r="DH5" t="e">
        <f>AND(Sheet1!#REF!,"AAAAACf/1G8=")</f>
        <v>#REF!</v>
      </c>
      <c r="DI5" t="e">
        <f>AND(Sheet1!#REF!,"AAAAACf/1HA=")</f>
        <v>#REF!</v>
      </c>
      <c r="DJ5" t="e">
        <f>AND(Sheet1!#REF!,"AAAAACf/1HE=")</f>
        <v>#REF!</v>
      </c>
      <c r="DK5" t="e">
        <f>AND(Sheet1!#REF!,"AAAAACf/1HI=")</f>
        <v>#REF!</v>
      </c>
      <c r="DL5" t="e">
        <f>AND(Sheet1!#REF!,"AAAAACf/1HM=")</f>
        <v>#REF!</v>
      </c>
      <c r="DM5" t="e">
        <f>AND(Sheet1!#REF!,"AAAAACf/1HQ=")</f>
        <v>#REF!</v>
      </c>
      <c r="DN5" t="e">
        <f>AND(Sheet1!#REF!,"AAAAACf/1HU=")</f>
        <v>#REF!</v>
      </c>
      <c r="DO5" t="e">
        <f>AND(Sheet1!#REF!,"AAAAACf/1HY=")</f>
        <v>#REF!</v>
      </c>
      <c r="DP5" t="e">
        <f>AND(Sheet1!#REF!,"AAAAACf/1Hc=")</f>
        <v>#REF!</v>
      </c>
      <c r="DQ5" t="e">
        <f>AND(Sheet1!#REF!,"AAAAACf/1Hg=")</f>
        <v>#REF!</v>
      </c>
      <c r="DR5" t="e">
        <f>AND(Sheet1!#REF!,"AAAAACf/1Hk=")</f>
        <v>#REF!</v>
      </c>
      <c r="DS5" t="e">
        <f>AND(Sheet1!#REF!,"AAAAACf/1Ho=")</f>
        <v>#REF!</v>
      </c>
      <c r="DT5" t="e">
        <f>AND(Sheet1!#REF!,"AAAAACf/1Hs=")</f>
        <v>#REF!</v>
      </c>
      <c r="DU5" t="e">
        <f>AND(Sheet1!#REF!,"AAAAACf/1Hw=")</f>
        <v>#REF!</v>
      </c>
      <c r="DV5" t="e">
        <f>AND(Sheet1!#REF!,"AAAAACf/1H0=")</f>
        <v>#REF!</v>
      </c>
      <c r="DW5">
        <f>IF(Sheet1!76:76,"AAAAACf/1H4=",0)</f>
        <v>0</v>
      </c>
      <c r="DX5" t="e">
        <f>AND(Sheet1!A76,"AAAAACf/1H8=")</f>
        <v>#VALUE!</v>
      </c>
      <c r="DY5" t="e">
        <f>AND(Sheet1!B76,"AAAAACf/1IA=")</f>
        <v>#VALUE!</v>
      </c>
      <c r="DZ5" t="e">
        <f>AND(Sheet1!C76,"AAAAACf/1IE=")</f>
        <v>#VALUE!</v>
      </c>
      <c r="EA5" t="e">
        <f>AND(Sheet1!D76,"AAAAACf/1II=")</f>
        <v>#VALUE!</v>
      </c>
      <c r="EB5" t="e">
        <f>AND(Sheet1!E76,"AAAAACf/1IM=")</f>
        <v>#VALUE!</v>
      </c>
      <c r="EC5" t="e">
        <f>AND(Sheet1!#REF!,"AAAAACf/1IQ=")</f>
        <v>#REF!</v>
      </c>
      <c r="ED5" t="e">
        <f>AND(Sheet1!G76,"AAAAACf/1IU=")</f>
        <v>#VALUE!</v>
      </c>
      <c r="EE5" t="e">
        <f>AND(Sheet1!I76,"AAAAACf/1IY=")</f>
        <v>#VALUE!</v>
      </c>
      <c r="EF5" t="e">
        <f>AND(Sheet1!J76,"AAAAACf/1Ic=")</f>
        <v>#VALUE!</v>
      </c>
      <c r="EG5" t="e">
        <f>AND(Sheet1!K76,"AAAAACf/1Ig=")</f>
        <v>#VALUE!</v>
      </c>
      <c r="EH5" t="e">
        <f>AND(Sheet1!L76,"AAAAACf/1Ik=")</f>
        <v>#VALUE!</v>
      </c>
      <c r="EI5" t="e">
        <f>AND(Sheet1!M76,"AAAAACf/1Io=")</f>
        <v>#VALUE!</v>
      </c>
      <c r="EJ5" t="e">
        <f>AND(Sheet1!N76,"AAAAACf/1Is=")</f>
        <v>#VALUE!</v>
      </c>
      <c r="EK5" t="e">
        <f>AND(Sheet1!O76,"AAAAACf/1Iw=")</f>
        <v>#VALUE!</v>
      </c>
      <c r="EL5" t="e">
        <f>AND(Sheet1!P76,"AAAAACf/1I0=")</f>
        <v>#VALUE!</v>
      </c>
      <c r="EM5" t="e">
        <f>AND(Sheet1!Q76,"AAAAACf/1I4=")</f>
        <v>#VALUE!</v>
      </c>
      <c r="EN5" t="e">
        <f>AND(Sheet1!R76,"AAAAACf/1I8=")</f>
        <v>#VALUE!</v>
      </c>
      <c r="EO5" t="e">
        <f>AND(Sheet1!S76,"AAAAACf/1JA=")</f>
        <v>#VALUE!</v>
      </c>
      <c r="EP5" t="e">
        <f>AND(Sheet1!T76,"AAAAACf/1JE=")</f>
        <v>#VALUE!</v>
      </c>
      <c r="EQ5" t="e">
        <f>AND(Sheet1!U76,"AAAAACf/1JI=")</f>
        <v>#VALUE!</v>
      </c>
      <c r="ER5" t="e">
        <f>AND(Sheet1!V76,"AAAAACf/1JM=")</f>
        <v>#VALUE!</v>
      </c>
      <c r="ES5" t="e">
        <f>AND(Sheet1!W76,"AAAAACf/1JQ=")</f>
        <v>#VALUE!</v>
      </c>
      <c r="ET5">
        <f>IF(Sheet1!77:77,"AAAAACf/1JU=",0)</f>
        <v>0</v>
      </c>
      <c r="EU5" t="e">
        <f>AND(Sheet1!A77,"AAAAACf/1JY=")</f>
        <v>#VALUE!</v>
      </c>
      <c r="EV5" t="e">
        <f>AND(Sheet1!B77,"AAAAACf/1Jc=")</f>
        <v>#VALUE!</v>
      </c>
      <c r="EW5" t="e">
        <f>AND(Sheet1!C77,"AAAAACf/1Jg=")</f>
        <v>#VALUE!</v>
      </c>
      <c r="EX5" t="e">
        <f>AND(Sheet1!D77,"AAAAACf/1Jk=")</f>
        <v>#VALUE!</v>
      </c>
      <c r="EY5" t="e">
        <f>AND(Sheet1!E77,"AAAAACf/1Jo=")</f>
        <v>#VALUE!</v>
      </c>
      <c r="EZ5" t="e">
        <f>AND(Sheet1!#REF!,"AAAAACf/1Js=")</f>
        <v>#REF!</v>
      </c>
      <c r="FA5" t="e">
        <f>AND(Sheet1!G77,"AAAAACf/1Jw=")</f>
        <v>#VALUE!</v>
      </c>
      <c r="FB5" t="e">
        <f>AND(Sheet1!I77,"AAAAACf/1J0=")</f>
        <v>#VALUE!</v>
      </c>
      <c r="FC5" t="e">
        <f>AND(Sheet1!J77,"AAAAACf/1J4=")</f>
        <v>#VALUE!</v>
      </c>
      <c r="FD5" t="e">
        <f>AND(Sheet1!K77,"AAAAACf/1J8=")</f>
        <v>#VALUE!</v>
      </c>
      <c r="FE5" t="e">
        <f>AND(Sheet1!L77,"AAAAACf/1KA=")</f>
        <v>#VALUE!</v>
      </c>
      <c r="FF5" t="e">
        <f>AND(Sheet1!M77,"AAAAACf/1KE=")</f>
        <v>#VALUE!</v>
      </c>
      <c r="FG5" t="e">
        <f>AND(Sheet1!N77,"AAAAACf/1KI=")</f>
        <v>#VALUE!</v>
      </c>
      <c r="FH5" t="e">
        <f>AND(Sheet1!O77,"AAAAACf/1KM=")</f>
        <v>#VALUE!</v>
      </c>
      <c r="FI5" t="e">
        <f>AND(Sheet1!P77,"AAAAACf/1KQ=")</f>
        <v>#VALUE!</v>
      </c>
      <c r="FJ5" t="e">
        <f>AND(Sheet1!Q77,"AAAAACf/1KU=")</f>
        <v>#VALUE!</v>
      </c>
      <c r="FK5" t="e">
        <f>AND(Sheet1!R77,"AAAAACf/1KY=")</f>
        <v>#VALUE!</v>
      </c>
      <c r="FL5" t="e">
        <f>AND(Sheet1!S77,"AAAAACf/1Kc=")</f>
        <v>#VALUE!</v>
      </c>
      <c r="FM5" t="e">
        <f>AND(Sheet1!T77,"AAAAACf/1Kg=")</f>
        <v>#VALUE!</v>
      </c>
      <c r="FN5" t="e">
        <f>AND(Sheet1!U77,"AAAAACf/1Kk=")</f>
        <v>#VALUE!</v>
      </c>
      <c r="FO5" t="e">
        <f>AND(Sheet1!V77,"AAAAACf/1Ko=")</f>
        <v>#VALUE!</v>
      </c>
      <c r="FP5" t="e">
        <f>AND(Sheet1!W77,"AAAAACf/1Ks=")</f>
        <v>#VALUE!</v>
      </c>
      <c r="FQ5">
        <f>IF(Sheet1!58:58,"AAAAACf/1Kw=",0)</f>
        <v>0</v>
      </c>
      <c r="FR5" t="e">
        <f>AND(Sheet1!A58,"AAAAACf/1K0=")</f>
        <v>#VALUE!</v>
      </c>
      <c r="FS5" t="e">
        <f>AND(Sheet1!B58,"AAAAACf/1K4=")</f>
        <v>#VALUE!</v>
      </c>
      <c r="FT5" t="e">
        <f>AND(Sheet1!C58,"AAAAACf/1K8=")</f>
        <v>#VALUE!</v>
      </c>
      <c r="FU5" t="e">
        <f>AND(Sheet1!D58,"AAAAACf/1LA=")</f>
        <v>#VALUE!</v>
      </c>
      <c r="FV5" t="e">
        <f>AND(Sheet1!E58,"AAAAACf/1LE=")</f>
        <v>#VALUE!</v>
      </c>
      <c r="FW5" t="e">
        <f>AND(Sheet1!#REF!,"AAAAACf/1LI=")</f>
        <v>#REF!</v>
      </c>
      <c r="FX5" t="e">
        <f>AND(Sheet1!G58,"AAAAACf/1LM=")</f>
        <v>#VALUE!</v>
      </c>
      <c r="FY5" t="e">
        <f>AND(Sheet1!I58,"AAAAACf/1LQ=")</f>
        <v>#VALUE!</v>
      </c>
      <c r="FZ5" t="e">
        <f>AND(Sheet1!J58,"AAAAACf/1LU=")</f>
        <v>#VALUE!</v>
      </c>
      <c r="GA5" t="e">
        <f>AND(Sheet1!K58,"AAAAACf/1LY=")</f>
        <v>#VALUE!</v>
      </c>
      <c r="GB5" t="e">
        <f>AND(Sheet1!L58,"AAAAACf/1Lc=")</f>
        <v>#VALUE!</v>
      </c>
      <c r="GC5" t="e">
        <f>AND(Sheet1!M58,"AAAAACf/1Lg=")</f>
        <v>#VALUE!</v>
      </c>
      <c r="GD5" t="e">
        <f>AND(Sheet1!N58,"AAAAACf/1Lk=")</f>
        <v>#VALUE!</v>
      </c>
      <c r="GE5" t="e">
        <f>AND(Sheet1!O58,"AAAAACf/1Lo=")</f>
        <v>#VALUE!</v>
      </c>
      <c r="GF5" t="e">
        <f>AND(Sheet1!P58,"AAAAACf/1Ls=")</f>
        <v>#VALUE!</v>
      </c>
      <c r="GG5" t="e">
        <f>AND(Sheet1!Q58,"AAAAACf/1Lw=")</f>
        <v>#VALUE!</v>
      </c>
      <c r="GH5" t="e">
        <f>AND(Sheet1!R58,"AAAAACf/1L0=")</f>
        <v>#VALUE!</v>
      </c>
      <c r="GI5" t="e">
        <f>AND(Sheet1!S58,"AAAAACf/1L4=")</f>
        <v>#VALUE!</v>
      </c>
      <c r="GJ5" t="e">
        <f>AND(Sheet1!T58,"AAAAACf/1L8=")</f>
        <v>#VALUE!</v>
      </c>
      <c r="GK5" t="e">
        <f>AND(Sheet1!U58,"AAAAACf/1MA=")</f>
        <v>#VALUE!</v>
      </c>
      <c r="GL5" t="e">
        <f>AND(Sheet1!V58,"AAAAACf/1ME=")</f>
        <v>#VALUE!</v>
      </c>
      <c r="GM5" t="e">
        <f>AND(Sheet1!W58,"AAAAACf/1MI=")</f>
        <v>#VALUE!</v>
      </c>
      <c r="GN5" t="e">
        <f>IF(Sheet1!#REF!,"AAAAACf/1MM=",0)</f>
        <v>#REF!</v>
      </c>
      <c r="GO5" t="e">
        <f>AND(Sheet1!#REF!,"AAAAACf/1MQ=")</f>
        <v>#REF!</v>
      </c>
      <c r="GP5" t="e">
        <f>AND(Sheet1!#REF!,"AAAAACf/1MU=")</f>
        <v>#REF!</v>
      </c>
      <c r="GQ5" t="e">
        <f>AND(Sheet1!#REF!,"AAAAACf/1MY=")</f>
        <v>#REF!</v>
      </c>
      <c r="GR5" t="e">
        <f>AND(Sheet1!#REF!,"AAAAACf/1Mc=")</f>
        <v>#REF!</v>
      </c>
      <c r="GS5" t="e">
        <f>AND(Sheet1!#REF!,"AAAAACf/1Mg=")</f>
        <v>#REF!</v>
      </c>
      <c r="GT5" t="e">
        <f>AND(Sheet1!#REF!,"AAAAACf/1Mk=")</f>
        <v>#REF!</v>
      </c>
      <c r="GU5" t="e">
        <f>AND(Sheet1!#REF!,"AAAAACf/1Mo=")</f>
        <v>#REF!</v>
      </c>
      <c r="GV5" t="e">
        <f>AND(Sheet1!#REF!,"AAAAACf/1Ms=")</f>
        <v>#REF!</v>
      </c>
      <c r="GW5" t="e">
        <f>AND(Sheet1!#REF!,"AAAAACf/1Mw=")</f>
        <v>#REF!</v>
      </c>
      <c r="GX5" t="e">
        <f>AND(Sheet1!#REF!,"AAAAACf/1M0=")</f>
        <v>#REF!</v>
      </c>
      <c r="GY5" t="e">
        <f>AND(Sheet1!#REF!,"AAAAACf/1M4=")</f>
        <v>#REF!</v>
      </c>
      <c r="GZ5" t="e">
        <f>AND(Sheet1!#REF!,"AAAAACf/1M8=")</f>
        <v>#REF!</v>
      </c>
      <c r="HA5" t="e">
        <f>AND(Sheet1!#REF!,"AAAAACf/1NA=")</f>
        <v>#REF!</v>
      </c>
      <c r="HB5" t="e">
        <f>AND(Sheet1!#REF!,"AAAAACf/1NE=")</f>
        <v>#REF!</v>
      </c>
      <c r="HC5" t="e">
        <f>AND(Sheet1!#REF!,"AAAAACf/1NI=")</f>
        <v>#REF!</v>
      </c>
      <c r="HD5" t="e">
        <f>AND(Sheet1!#REF!,"AAAAACf/1NM=")</f>
        <v>#REF!</v>
      </c>
      <c r="HE5" t="e">
        <f>AND(Sheet1!#REF!,"AAAAACf/1NQ=")</f>
        <v>#REF!</v>
      </c>
      <c r="HF5" t="e">
        <f>AND(Sheet1!#REF!,"AAAAACf/1NU=")</f>
        <v>#REF!</v>
      </c>
      <c r="HG5" t="e">
        <f>AND(Sheet1!#REF!,"AAAAACf/1NY=")</f>
        <v>#REF!</v>
      </c>
      <c r="HH5" t="e">
        <f>AND(Sheet1!#REF!,"AAAAACf/1Nc=")</f>
        <v>#REF!</v>
      </c>
      <c r="HI5" t="e">
        <f>AND(Sheet1!#REF!,"AAAAACf/1Ng=")</f>
        <v>#REF!</v>
      </c>
      <c r="HJ5" t="e">
        <f>AND(Sheet1!#REF!,"AAAAACf/1Nk=")</f>
        <v>#REF!</v>
      </c>
      <c r="HK5">
        <f>IF(Sheet1!41:41,"AAAAACf/1No=",0)</f>
        <v>0</v>
      </c>
      <c r="HL5" t="e">
        <f>AND(Sheet1!A41,"AAAAACf/1Ns=")</f>
        <v>#VALUE!</v>
      </c>
      <c r="HM5" t="e">
        <f>AND(Sheet1!B41,"AAAAACf/1Nw=")</f>
        <v>#VALUE!</v>
      </c>
      <c r="HN5" t="e">
        <f>AND(Sheet1!C41,"AAAAACf/1N0=")</f>
        <v>#VALUE!</v>
      </c>
      <c r="HO5" t="e">
        <f>AND(Sheet1!D41,"AAAAACf/1N4=")</f>
        <v>#VALUE!</v>
      </c>
      <c r="HP5" t="e">
        <f>AND(Sheet1!E41,"AAAAACf/1N8=")</f>
        <v>#VALUE!</v>
      </c>
      <c r="HQ5" t="e">
        <f>AND(Sheet1!#REF!,"AAAAACf/1OA=")</f>
        <v>#REF!</v>
      </c>
      <c r="HR5" t="e">
        <f>AND(Sheet1!G41,"AAAAACf/1OE=")</f>
        <v>#VALUE!</v>
      </c>
      <c r="HS5" t="e">
        <f>AND(Sheet1!I41,"AAAAACf/1OI=")</f>
        <v>#VALUE!</v>
      </c>
      <c r="HT5" t="e">
        <f>AND(Sheet1!J41,"AAAAACf/1OM=")</f>
        <v>#VALUE!</v>
      </c>
      <c r="HU5" t="e">
        <f>AND(Sheet1!K41,"AAAAACf/1OQ=")</f>
        <v>#VALUE!</v>
      </c>
      <c r="HV5" t="e">
        <f>AND(Sheet1!L41,"AAAAACf/1OU=")</f>
        <v>#VALUE!</v>
      </c>
      <c r="HW5" t="e">
        <f>AND(Sheet1!M41,"AAAAACf/1OY=")</f>
        <v>#VALUE!</v>
      </c>
      <c r="HX5" t="e">
        <f>AND(Sheet1!N41,"AAAAACf/1Oc=")</f>
        <v>#VALUE!</v>
      </c>
      <c r="HY5" t="e">
        <f>AND(Sheet1!O41,"AAAAACf/1Og=")</f>
        <v>#VALUE!</v>
      </c>
      <c r="HZ5" t="e">
        <f>AND(Sheet1!P41,"AAAAACf/1Ok=")</f>
        <v>#VALUE!</v>
      </c>
      <c r="IA5" t="e">
        <f>AND(Sheet1!Q41,"AAAAACf/1Oo=")</f>
        <v>#VALUE!</v>
      </c>
      <c r="IB5" t="e">
        <f>AND(Sheet1!R41,"AAAAACf/1Os=")</f>
        <v>#VALUE!</v>
      </c>
      <c r="IC5" t="e">
        <f>AND(Sheet1!S41,"AAAAACf/1Ow=")</f>
        <v>#VALUE!</v>
      </c>
      <c r="ID5" t="e">
        <f>AND(Sheet1!T41,"AAAAACf/1O0=")</f>
        <v>#VALUE!</v>
      </c>
      <c r="IE5" t="e">
        <f>AND(Sheet1!U41,"AAAAACf/1O4=")</f>
        <v>#VALUE!</v>
      </c>
      <c r="IF5" t="e">
        <f>AND(Sheet1!V41,"AAAAACf/1O8=")</f>
        <v>#VALUE!</v>
      </c>
      <c r="IG5" t="e">
        <f>AND(Sheet1!W41,"AAAAACf/1PA=")</f>
        <v>#VALUE!</v>
      </c>
      <c r="IH5" t="e">
        <f>IF(Sheet1!#REF!,"AAAAACf/1PE=",0)</f>
        <v>#REF!</v>
      </c>
      <c r="II5" t="e">
        <f>AND(Sheet1!#REF!,"AAAAACf/1PI=")</f>
        <v>#REF!</v>
      </c>
      <c r="IJ5" t="e">
        <f>AND(Sheet1!#REF!,"AAAAACf/1PM=")</f>
        <v>#REF!</v>
      </c>
      <c r="IK5" t="e">
        <f>AND(Sheet1!#REF!,"AAAAACf/1PQ=")</f>
        <v>#REF!</v>
      </c>
      <c r="IL5" t="e">
        <f>AND(Sheet1!#REF!,"AAAAACf/1PU=")</f>
        <v>#REF!</v>
      </c>
      <c r="IM5" t="e">
        <f>AND(Sheet1!#REF!,"AAAAACf/1PY=")</f>
        <v>#REF!</v>
      </c>
      <c r="IN5" t="e">
        <f>AND(Sheet1!#REF!,"AAAAACf/1Pc=")</f>
        <v>#REF!</v>
      </c>
      <c r="IO5" t="e">
        <f>AND(Sheet1!#REF!,"AAAAACf/1Pg=")</f>
        <v>#REF!</v>
      </c>
      <c r="IP5" t="e">
        <f>AND(Sheet1!#REF!,"AAAAACf/1Pk=")</f>
        <v>#REF!</v>
      </c>
      <c r="IQ5" t="e">
        <f>AND(Sheet1!#REF!,"AAAAACf/1Po=")</f>
        <v>#REF!</v>
      </c>
      <c r="IR5" t="e">
        <f>AND(Sheet1!#REF!,"AAAAACf/1Ps=")</f>
        <v>#REF!</v>
      </c>
      <c r="IS5" t="e">
        <f>AND(Sheet1!#REF!,"AAAAACf/1Pw=")</f>
        <v>#REF!</v>
      </c>
      <c r="IT5" t="e">
        <f>AND(Sheet1!#REF!,"AAAAACf/1P0=")</f>
        <v>#REF!</v>
      </c>
      <c r="IU5" t="e">
        <f>AND(Sheet1!#REF!,"AAAAACf/1P4=")</f>
        <v>#REF!</v>
      </c>
      <c r="IV5" t="e">
        <f>AND(Sheet1!#REF!,"AAAAACf/1P8=")</f>
        <v>#REF!</v>
      </c>
    </row>
    <row r="6" spans="1:256" ht="12.75">
      <c r="A6" t="e">
        <f>AND(Sheet1!#REF!,"AAAAADn/fAA=")</f>
        <v>#REF!</v>
      </c>
      <c r="B6" t="e">
        <f>AND(Sheet1!#REF!,"AAAAADn/fAE=")</f>
        <v>#REF!</v>
      </c>
      <c r="C6" t="e">
        <f>AND(Sheet1!#REF!,"AAAAADn/fAI=")</f>
        <v>#REF!</v>
      </c>
      <c r="D6" t="e">
        <f>AND(Sheet1!#REF!,"AAAAADn/fAM=")</f>
        <v>#REF!</v>
      </c>
      <c r="E6" t="e">
        <f>AND(Sheet1!#REF!,"AAAAADn/fAQ=")</f>
        <v>#REF!</v>
      </c>
      <c r="F6" t="e">
        <f>AND(Sheet1!#REF!,"AAAAADn/fAU=")</f>
        <v>#REF!</v>
      </c>
      <c r="G6" t="e">
        <f>AND(Sheet1!#REF!,"AAAAADn/fAY=")</f>
        <v>#REF!</v>
      </c>
      <c r="H6" t="e">
        <f>AND(Sheet1!#REF!,"AAAAADn/fAc=")</f>
        <v>#REF!</v>
      </c>
      <c r="I6" t="e">
        <f>IF(Sheet1!57:57,"AAAAADn/fAg=",0)</f>
        <v>#VALUE!</v>
      </c>
      <c r="J6" t="e">
        <f>AND(Sheet1!A57,"AAAAADn/fAk=")</f>
        <v>#VALUE!</v>
      </c>
      <c r="K6" t="e">
        <f>AND(Sheet1!B57,"AAAAADn/fAo=")</f>
        <v>#VALUE!</v>
      </c>
      <c r="L6" t="e">
        <f>AND(Sheet1!C57,"AAAAADn/fAs=")</f>
        <v>#VALUE!</v>
      </c>
      <c r="M6" t="e">
        <f>AND(Sheet1!D57,"AAAAADn/fAw=")</f>
        <v>#VALUE!</v>
      </c>
      <c r="N6" t="e">
        <f>AND(Sheet1!E57,"AAAAADn/fA0=")</f>
        <v>#VALUE!</v>
      </c>
      <c r="O6" t="e">
        <f>AND(Sheet1!#REF!,"AAAAADn/fA4=")</f>
        <v>#REF!</v>
      </c>
      <c r="P6" t="e">
        <f>AND(Sheet1!G57,"AAAAADn/fA8=")</f>
        <v>#VALUE!</v>
      </c>
      <c r="Q6" t="e">
        <f>AND(Sheet1!I57,"AAAAADn/fBA=")</f>
        <v>#VALUE!</v>
      </c>
      <c r="R6" t="e">
        <f>AND(Sheet1!J57,"AAAAADn/fBE=")</f>
        <v>#VALUE!</v>
      </c>
      <c r="S6" t="e">
        <f>AND(Sheet1!K57,"AAAAADn/fBI=")</f>
        <v>#VALUE!</v>
      </c>
      <c r="T6" t="e">
        <f>AND(Sheet1!L57,"AAAAADn/fBM=")</f>
        <v>#VALUE!</v>
      </c>
      <c r="U6" t="e">
        <f>AND(Sheet1!M57,"AAAAADn/fBQ=")</f>
        <v>#VALUE!</v>
      </c>
      <c r="V6" t="e">
        <f>AND(Sheet1!N57,"AAAAADn/fBU=")</f>
        <v>#VALUE!</v>
      </c>
      <c r="W6" t="e">
        <f>AND(Sheet1!O57,"AAAAADn/fBY=")</f>
        <v>#VALUE!</v>
      </c>
      <c r="X6" t="e">
        <f>AND(Sheet1!P57,"AAAAADn/fBc=")</f>
        <v>#VALUE!</v>
      </c>
      <c r="Y6" t="e">
        <f>AND(Sheet1!Q57,"AAAAADn/fBg=")</f>
        <v>#VALUE!</v>
      </c>
      <c r="Z6" t="e">
        <f>AND(Sheet1!R57,"AAAAADn/fBk=")</f>
        <v>#VALUE!</v>
      </c>
      <c r="AA6" t="e">
        <f>AND(Sheet1!S57,"AAAAADn/fBo=")</f>
        <v>#VALUE!</v>
      </c>
      <c r="AB6" t="e">
        <f>AND(Sheet1!T57,"AAAAADn/fBs=")</f>
        <v>#VALUE!</v>
      </c>
      <c r="AC6" t="e">
        <f>AND(Sheet1!U57,"AAAAADn/fBw=")</f>
        <v>#VALUE!</v>
      </c>
      <c r="AD6" t="e">
        <f>AND(Sheet1!V57,"AAAAADn/fB0=")</f>
        <v>#VALUE!</v>
      </c>
      <c r="AE6" t="e">
        <f>AND(Sheet1!W57,"AAAAADn/fB4=")</f>
        <v>#VALUE!</v>
      </c>
      <c r="AF6">
        <f>IF(Sheet1!66:66,"AAAAADn/fB8=",0)</f>
        <v>0</v>
      </c>
      <c r="AG6" t="e">
        <f>AND(Sheet1!A66,"AAAAADn/fCA=")</f>
        <v>#VALUE!</v>
      </c>
      <c r="AH6" t="e">
        <f>AND(Sheet1!B66,"AAAAADn/fCE=")</f>
        <v>#VALUE!</v>
      </c>
      <c r="AI6" t="e">
        <f>AND(Sheet1!C66,"AAAAADn/fCI=")</f>
        <v>#VALUE!</v>
      </c>
      <c r="AJ6" t="e">
        <f>AND(Sheet1!D66,"AAAAADn/fCM=")</f>
        <v>#VALUE!</v>
      </c>
      <c r="AK6" t="e">
        <f>AND(Sheet1!E66,"AAAAADn/fCQ=")</f>
        <v>#VALUE!</v>
      </c>
      <c r="AL6" t="e">
        <f>AND(Sheet1!#REF!,"AAAAADn/fCU=")</f>
        <v>#REF!</v>
      </c>
      <c r="AM6" t="e">
        <f>AND(Sheet1!G66,"AAAAADn/fCY=")</f>
        <v>#VALUE!</v>
      </c>
      <c r="AN6" t="e">
        <f>AND(Sheet1!I66,"AAAAADn/fCc=")</f>
        <v>#VALUE!</v>
      </c>
      <c r="AO6" t="e">
        <f>AND(Sheet1!J66,"AAAAADn/fCg=")</f>
        <v>#VALUE!</v>
      </c>
      <c r="AP6" t="e">
        <f>AND(Sheet1!K66,"AAAAADn/fCk=")</f>
        <v>#VALUE!</v>
      </c>
      <c r="AQ6" t="e">
        <f>AND(Sheet1!L66,"AAAAADn/fCo=")</f>
        <v>#VALUE!</v>
      </c>
      <c r="AR6" t="e">
        <f>AND(Sheet1!M66,"AAAAADn/fCs=")</f>
        <v>#VALUE!</v>
      </c>
      <c r="AS6" t="e">
        <f>AND(Sheet1!N66,"AAAAADn/fCw=")</f>
        <v>#VALUE!</v>
      </c>
      <c r="AT6" t="e">
        <f>AND(Sheet1!O66,"AAAAADn/fC0=")</f>
        <v>#VALUE!</v>
      </c>
      <c r="AU6" t="e">
        <f>AND(Sheet1!P66,"AAAAADn/fC4=")</f>
        <v>#VALUE!</v>
      </c>
      <c r="AV6" t="e">
        <f>AND(Sheet1!Q66,"AAAAADn/fC8=")</f>
        <v>#VALUE!</v>
      </c>
      <c r="AW6" t="e">
        <f>AND(Sheet1!R66,"AAAAADn/fDA=")</f>
        <v>#VALUE!</v>
      </c>
      <c r="AX6" t="e">
        <f>AND(Sheet1!S66,"AAAAADn/fDE=")</f>
        <v>#VALUE!</v>
      </c>
      <c r="AY6" t="e">
        <f>AND(Sheet1!T66,"AAAAADn/fDI=")</f>
        <v>#VALUE!</v>
      </c>
      <c r="AZ6" t="e">
        <f>AND(Sheet1!U66,"AAAAADn/fDM=")</f>
        <v>#VALUE!</v>
      </c>
      <c r="BA6" t="e">
        <f>AND(Sheet1!V66,"AAAAADn/fDQ=")</f>
        <v>#VALUE!</v>
      </c>
      <c r="BB6" t="e">
        <f>AND(Sheet1!W66,"AAAAADn/fDU=")</f>
        <v>#VALUE!</v>
      </c>
      <c r="BC6" t="e">
        <f>IF(Sheet1!#REF!,"AAAAADn/fDY=",0)</f>
        <v>#REF!</v>
      </c>
      <c r="BD6" t="e">
        <f>AND(Sheet1!#REF!,"AAAAADn/fDc=")</f>
        <v>#REF!</v>
      </c>
      <c r="BE6" t="e">
        <f>AND(Sheet1!#REF!,"AAAAADn/fDg=")</f>
        <v>#REF!</v>
      </c>
      <c r="BF6" t="e">
        <f>AND(Sheet1!#REF!,"AAAAADn/fDk=")</f>
        <v>#REF!</v>
      </c>
      <c r="BG6" t="e">
        <f>AND(Sheet1!#REF!,"AAAAADn/fDo=")</f>
        <v>#REF!</v>
      </c>
      <c r="BH6" t="e">
        <f>AND(Sheet1!#REF!,"AAAAADn/fDs=")</f>
        <v>#REF!</v>
      </c>
      <c r="BI6" t="e">
        <f>AND(Sheet1!#REF!,"AAAAADn/fDw=")</f>
        <v>#REF!</v>
      </c>
      <c r="BJ6" t="e">
        <f>AND(Sheet1!#REF!,"AAAAADn/fD0=")</f>
        <v>#REF!</v>
      </c>
      <c r="BK6" t="e">
        <f>AND(Sheet1!#REF!,"AAAAADn/fD4=")</f>
        <v>#REF!</v>
      </c>
      <c r="BL6" t="e">
        <f>AND(Sheet1!#REF!,"AAAAADn/fD8=")</f>
        <v>#REF!</v>
      </c>
      <c r="BM6" t="e">
        <f>AND(Sheet1!#REF!,"AAAAADn/fEA=")</f>
        <v>#REF!</v>
      </c>
      <c r="BN6" t="e">
        <f>AND(Sheet1!#REF!,"AAAAADn/fEE=")</f>
        <v>#REF!</v>
      </c>
      <c r="BO6" t="e">
        <f>AND(Sheet1!#REF!,"AAAAADn/fEI=")</f>
        <v>#REF!</v>
      </c>
      <c r="BP6" t="e">
        <f>AND(Sheet1!#REF!,"AAAAADn/fEM=")</f>
        <v>#REF!</v>
      </c>
      <c r="BQ6" t="e">
        <f>AND(Sheet1!#REF!,"AAAAADn/fEQ=")</f>
        <v>#REF!</v>
      </c>
      <c r="BR6" t="e">
        <f>AND(Sheet1!#REF!,"AAAAADn/fEU=")</f>
        <v>#REF!</v>
      </c>
      <c r="BS6" t="e">
        <f>AND(Sheet1!#REF!,"AAAAADn/fEY=")</f>
        <v>#REF!</v>
      </c>
      <c r="BT6" t="e">
        <f>AND(Sheet1!#REF!,"AAAAADn/fEc=")</f>
        <v>#REF!</v>
      </c>
      <c r="BU6" t="e">
        <f>AND(Sheet1!#REF!,"AAAAADn/fEg=")</f>
        <v>#REF!</v>
      </c>
      <c r="BV6" t="e">
        <f>AND(Sheet1!#REF!,"AAAAADn/fEk=")</f>
        <v>#REF!</v>
      </c>
      <c r="BW6" t="e">
        <f>AND(Sheet1!#REF!,"AAAAADn/fEo=")</f>
        <v>#REF!</v>
      </c>
      <c r="BX6" t="e">
        <f>AND(Sheet1!#REF!,"AAAAADn/fEs=")</f>
        <v>#REF!</v>
      </c>
      <c r="BY6" t="e">
        <f>AND(Sheet1!#REF!,"AAAAADn/fEw=")</f>
        <v>#REF!</v>
      </c>
      <c r="BZ6">
        <f>IF(Sheet1!28:28,"AAAAADn/fE0=",0)</f>
        <v>0</v>
      </c>
      <c r="CA6" t="e">
        <f>AND(Sheet1!A28,"AAAAADn/fE4=")</f>
        <v>#VALUE!</v>
      </c>
      <c r="CB6" t="e">
        <f>AND(Sheet1!B28,"AAAAADn/fE8=")</f>
        <v>#VALUE!</v>
      </c>
      <c r="CC6" t="e">
        <f>AND(Sheet1!C28,"AAAAADn/fFA=")</f>
        <v>#VALUE!</v>
      </c>
      <c r="CD6" t="e">
        <f>AND(Sheet1!D28,"AAAAADn/fFE=")</f>
        <v>#VALUE!</v>
      </c>
      <c r="CE6" t="e">
        <f>AND(Sheet1!E28,"AAAAADn/fFI=")</f>
        <v>#VALUE!</v>
      </c>
      <c r="CF6" t="e">
        <f>AND(Sheet1!#REF!,"AAAAADn/fFM=")</f>
        <v>#REF!</v>
      </c>
      <c r="CG6" t="e">
        <f>AND(Sheet1!G28,"AAAAADn/fFQ=")</f>
        <v>#VALUE!</v>
      </c>
      <c r="CH6" t="e">
        <f>AND(Sheet1!I28,"AAAAADn/fFU=")</f>
        <v>#VALUE!</v>
      </c>
      <c r="CI6" t="e">
        <f>AND(Sheet1!J28,"AAAAADn/fFY=")</f>
        <v>#VALUE!</v>
      </c>
      <c r="CJ6" t="e">
        <f>AND(Sheet1!K28,"AAAAADn/fFc=")</f>
        <v>#VALUE!</v>
      </c>
      <c r="CK6" t="e">
        <f>AND(Sheet1!L28,"AAAAADn/fFg=")</f>
        <v>#VALUE!</v>
      </c>
      <c r="CL6" t="e">
        <f>AND(Sheet1!M28,"AAAAADn/fFk=")</f>
        <v>#VALUE!</v>
      </c>
      <c r="CM6" t="e">
        <f>AND(Sheet1!N28,"AAAAADn/fFo=")</f>
        <v>#VALUE!</v>
      </c>
      <c r="CN6" t="e">
        <f>AND(Sheet1!O28,"AAAAADn/fFs=")</f>
        <v>#VALUE!</v>
      </c>
      <c r="CO6" t="e">
        <f>AND(Sheet1!P28,"AAAAADn/fFw=")</f>
        <v>#VALUE!</v>
      </c>
      <c r="CP6" t="e">
        <f>AND(Sheet1!Q28,"AAAAADn/fF0=")</f>
        <v>#VALUE!</v>
      </c>
      <c r="CQ6" t="e">
        <f>AND(Sheet1!R28,"AAAAADn/fF4=")</f>
        <v>#VALUE!</v>
      </c>
      <c r="CR6" t="e">
        <f>AND(Sheet1!S28,"AAAAADn/fF8=")</f>
        <v>#VALUE!</v>
      </c>
      <c r="CS6" t="e">
        <f>AND(Sheet1!T28,"AAAAADn/fGA=")</f>
        <v>#VALUE!</v>
      </c>
      <c r="CT6" t="e">
        <f>AND(Sheet1!U28,"AAAAADn/fGE=")</f>
        <v>#VALUE!</v>
      </c>
      <c r="CU6" t="e">
        <f>AND(Sheet1!V28,"AAAAADn/fGI=")</f>
        <v>#VALUE!</v>
      </c>
      <c r="CV6" t="e">
        <f>AND(Sheet1!W28,"AAAAADn/fGM=")</f>
        <v>#VALUE!</v>
      </c>
      <c r="CW6">
        <f>IF(Sheet1!53:53,"AAAAADn/fGQ=",0)</f>
        <v>0</v>
      </c>
      <c r="CX6" t="e">
        <f>AND(Sheet1!A53,"AAAAADn/fGU=")</f>
        <v>#VALUE!</v>
      </c>
      <c r="CY6" t="e">
        <f>AND(Sheet1!B53,"AAAAADn/fGY=")</f>
        <v>#VALUE!</v>
      </c>
      <c r="CZ6" t="e">
        <f>AND(Sheet1!C53,"AAAAADn/fGc=")</f>
        <v>#VALUE!</v>
      </c>
      <c r="DA6" t="e">
        <f>AND(Sheet1!D53,"AAAAADn/fGg=")</f>
        <v>#VALUE!</v>
      </c>
      <c r="DB6" t="e">
        <f>AND(Sheet1!E53,"AAAAADn/fGk=")</f>
        <v>#VALUE!</v>
      </c>
      <c r="DC6" t="e">
        <f>AND(Sheet1!#REF!,"AAAAADn/fGo=")</f>
        <v>#REF!</v>
      </c>
      <c r="DD6" t="e">
        <f>AND(Sheet1!G53,"AAAAADn/fGs=")</f>
        <v>#VALUE!</v>
      </c>
      <c r="DE6" t="e">
        <f>AND(Sheet1!I53,"AAAAADn/fGw=")</f>
        <v>#VALUE!</v>
      </c>
      <c r="DF6" t="e">
        <f>AND(Sheet1!J53,"AAAAADn/fG0=")</f>
        <v>#VALUE!</v>
      </c>
      <c r="DG6" t="e">
        <f>AND(Sheet1!K53,"AAAAADn/fG4=")</f>
        <v>#VALUE!</v>
      </c>
      <c r="DH6" t="e">
        <f>AND(Sheet1!L53,"AAAAADn/fG8=")</f>
        <v>#VALUE!</v>
      </c>
      <c r="DI6" t="e">
        <f>AND(Sheet1!M53,"AAAAADn/fHA=")</f>
        <v>#VALUE!</v>
      </c>
      <c r="DJ6" t="e">
        <f>AND(Sheet1!N53,"AAAAADn/fHE=")</f>
        <v>#VALUE!</v>
      </c>
      <c r="DK6" t="e">
        <f>AND(Sheet1!O53,"AAAAADn/fHI=")</f>
        <v>#VALUE!</v>
      </c>
      <c r="DL6" t="e">
        <f>AND(Sheet1!P53,"AAAAADn/fHM=")</f>
        <v>#VALUE!</v>
      </c>
      <c r="DM6" t="e">
        <f>AND(Sheet1!Q53,"AAAAADn/fHQ=")</f>
        <v>#VALUE!</v>
      </c>
      <c r="DN6" t="e">
        <f>AND(Sheet1!R53,"AAAAADn/fHU=")</f>
        <v>#VALUE!</v>
      </c>
      <c r="DO6" t="e">
        <f>AND(Sheet1!S53,"AAAAADn/fHY=")</f>
        <v>#VALUE!</v>
      </c>
      <c r="DP6" t="e">
        <f>AND(Sheet1!T53,"AAAAADn/fHc=")</f>
        <v>#VALUE!</v>
      </c>
      <c r="DQ6" t="e">
        <f>AND(Sheet1!U53,"AAAAADn/fHg=")</f>
        <v>#VALUE!</v>
      </c>
      <c r="DR6" t="e">
        <f>AND(Sheet1!V53,"AAAAADn/fHk=")</f>
        <v>#VALUE!</v>
      </c>
      <c r="DS6" t="e">
        <f>AND(Sheet1!W53,"AAAAADn/fHo=")</f>
        <v>#VALUE!</v>
      </c>
      <c r="DT6">
        <f>IF(Sheet1!64:64,"AAAAADn/fHs=",0)</f>
        <v>0</v>
      </c>
      <c r="DU6" t="e">
        <f>AND(Sheet1!A64,"AAAAADn/fHw=")</f>
        <v>#VALUE!</v>
      </c>
      <c r="DV6" t="e">
        <f>AND(Sheet1!B64,"AAAAADn/fH0=")</f>
        <v>#VALUE!</v>
      </c>
      <c r="DW6" t="e">
        <f>AND(Sheet1!C64,"AAAAADn/fH4=")</f>
        <v>#VALUE!</v>
      </c>
      <c r="DX6" t="e">
        <f>AND(Sheet1!D64,"AAAAADn/fH8=")</f>
        <v>#VALUE!</v>
      </c>
      <c r="DY6" t="e">
        <f>AND(Sheet1!E64,"AAAAADn/fIA=")</f>
        <v>#VALUE!</v>
      </c>
      <c r="DZ6" t="e">
        <f>AND(Sheet1!#REF!,"AAAAADn/fIE=")</f>
        <v>#REF!</v>
      </c>
      <c r="EA6" t="e">
        <f>AND(Sheet1!G64,"AAAAADn/fII=")</f>
        <v>#VALUE!</v>
      </c>
      <c r="EB6" t="e">
        <f>AND(Sheet1!I64,"AAAAADn/fIM=")</f>
        <v>#VALUE!</v>
      </c>
      <c r="EC6" t="e">
        <f>AND(Sheet1!J64,"AAAAADn/fIQ=")</f>
        <v>#VALUE!</v>
      </c>
      <c r="ED6" t="e">
        <f>AND(Sheet1!K64,"AAAAADn/fIU=")</f>
        <v>#VALUE!</v>
      </c>
      <c r="EE6" t="e">
        <f>AND(Sheet1!L64,"AAAAADn/fIY=")</f>
        <v>#VALUE!</v>
      </c>
      <c r="EF6" t="e">
        <f>AND(Sheet1!M64,"AAAAADn/fIc=")</f>
        <v>#VALUE!</v>
      </c>
      <c r="EG6" t="e">
        <f>AND(Sheet1!N64,"AAAAADn/fIg=")</f>
        <v>#VALUE!</v>
      </c>
      <c r="EH6" t="e">
        <f>AND(Sheet1!O64,"AAAAADn/fIk=")</f>
        <v>#VALUE!</v>
      </c>
      <c r="EI6" t="e">
        <f>AND(Sheet1!P64,"AAAAADn/fIo=")</f>
        <v>#VALUE!</v>
      </c>
      <c r="EJ6" t="e">
        <f>AND(Sheet1!Q64,"AAAAADn/fIs=")</f>
        <v>#VALUE!</v>
      </c>
      <c r="EK6" t="e">
        <f>AND(Sheet1!R64,"AAAAADn/fIw=")</f>
        <v>#VALUE!</v>
      </c>
      <c r="EL6" t="e">
        <f>AND(Sheet1!S64,"AAAAADn/fI0=")</f>
        <v>#VALUE!</v>
      </c>
      <c r="EM6" t="e">
        <f>AND(Sheet1!T64,"AAAAADn/fI4=")</f>
        <v>#VALUE!</v>
      </c>
      <c r="EN6" t="e">
        <f>AND(Sheet1!U64,"AAAAADn/fI8=")</f>
        <v>#VALUE!</v>
      </c>
      <c r="EO6" t="e">
        <f>AND(Sheet1!V64,"AAAAADn/fJA=")</f>
        <v>#VALUE!</v>
      </c>
      <c r="EP6" t="e">
        <f>AND(Sheet1!W64,"AAAAADn/fJE=")</f>
        <v>#VALUE!</v>
      </c>
      <c r="EQ6">
        <f>IF(Sheet1!65:65,"AAAAADn/fJI=",0)</f>
        <v>0</v>
      </c>
      <c r="ER6" t="e">
        <f>AND(Sheet1!A65,"AAAAADn/fJM=")</f>
        <v>#VALUE!</v>
      </c>
      <c r="ES6" t="e">
        <f>AND(Sheet1!B65,"AAAAADn/fJQ=")</f>
        <v>#VALUE!</v>
      </c>
      <c r="ET6" t="e">
        <f>AND(Sheet1!C65,"AAAAADn/fJU=")</f>
        <v>#VALUE!</v>
      </c>
      <c r="EU6" t="e">
        <f>AND(Sheet1!D65,"AAAAADn/fJY=")</f>
        <v>#VALUE!</v>
      </c>
      <c r="EV6" t="e">
        <f>AND(Sheet1!E65,"AAAAADn/fJc=")</f>
        <v>#VALUE!</v>
      </c>
      <c r="EW6" t="e">
        <f>AND(Sheet1!#REF!,"AAAAADn/fJg=")</f>
        <v>#REF!</v>
      </c>
      <c r="EX6" t="e">
        <f>AND(Sheet1!G65,"AAAAADn/fJk=")</f>
        <v>#VALUE!</v>
      </c>
      <c r="EY6" t="e">
        <f>AND(Sheet1!I65,"AAAAADn/fJo=")</f>
        <v>#VALUE!</v>
      </c>
      <c r="EZ6" t="e">
        <f>AND(Sheet1!J65,"AAAAADn/fJs=")</f>
        <v>#VALUE!</v>
      </c>
      <c r="FA6" t="e">
        <f>AND(Sheet1!K65,"AAAAADn/fJw=")</f>
        <v>#VALUE!</v>
      </c>
      <c r="FB6" t="e">
        <f>AND(Sheet1!L65,"AAAAADn/fJ0=")</f>
        <v>#VALUE!</v>
      </c>
      <c r="FC6" t="e">
        <f>AND(Sheet1!M65,"AAAAADn/fJ4=")</f>
        <v>#VALUE!</v>
      </c>
      <c r="FD6" t="e">
        <f>AND(Sheet1!N65,"AAAAADn/fJ8=")</f>
        <v>#VALUE!</v>
      </c>
      <c r="FE6" t="e">
        <f>AND(Sheet1!O65,"AAAAADn/fKA=")</f>
        <v>#VALUE!</v>
      </c>
      <c r="FF6" t="e">
        <f>AND(Sheet1!P65,"AAAAADn/fKE=")</f>
        <v>#VALUE!</v>
      </c>
      <c r="FG6" t="e">
        <f>AND(Sheet1!Q65,"AAAAADn/fKI=")</f>
        <v>#VALUE!</v>
      </c>
      <c r="FH6" t="e">
        <f>AND(Sheet1!R65,"AAAAADn/fKM=")</f>
        <v>#VALUE!</v>
      </c>
      <c r="FI6" t="e">
        <f>AND(Sheet1!S65,"AAAAADn/fKQ=")</f>
        <v>#VALUE!</v>
      </c>
      <c r="FJ6" t="e">
        <f>AND(Sheet1!T65,"AAAAADn/fKU=")</f>
        <v>#VALUE!</v>
      </c>
      <c r="FK6" t="e">
        <f>AND(Sheet1!U65,"AAAAADn/fKY=")</f>
        <v>#VALUE!</v>
      </c>
      <c r="FL6" t="e">
        <f>AND(Sheet1!V65,"AAAAADn/fKc=")</f>
        <v>#VALUE!</v>
      </c>
      <c r="FM6" t="e">
        <f>AND(Sheet1!W65,"AAAAADn/fKg=")</f>
        <v>#VALUE!</v>
      </c>
      <c r="FN6" t="e">
        <f>IF(Sheet1!#REF!,"AAAAADn/fKk=",0)</f>
        <v>#REF!</v>
      </c>
      <c r="FO6" t="e">
        <f>AND(Sheet1!#REF!,"AAAAADn/fKo=")</f>
        <v>#REF!</v>
      </c>
      <c r="FP6" t="e">
        <f>AND(Sheet1!#REF!,"AAAAADn/fKs=")</f>
        <v>#REF!</v>
      </c>
      <c r="FQ6" t="e">
        <f>AND(Sheet1!#REF!,"AAAAADn/fKw=")</f>
        <v>#REF!</v>
      </c>
      <c r="FR6" t="e">
        <f>AND(Sheet1!#REF!,"AAAAADn/fK0=")</f>
        <v>#REF!</v>
      </c>
      <c r="FS6" t="e">
        <f>AND(Sheet1!#REF!,"AAAAADn/fK4=")</f>
        <v>#REF!</v>
      </c>
      <c r="FT6" t="e">
        <f>AND(Sheet1!#REF!,"AAAAADn/fK8=")</f>
        <v>#REF!</v>
      </c>
      <c r="FU6" t="e">
        <f>AND(Sheet1!#REF!,"AAAAADn/fLA=")</f>
        <v>#REF!</v>
      </c>
      <c r="FV6" t="e">
        <f>AND(Sheet1!#REF!,"AAAAADn/fLE=")</f>
        <v>#REF!</v>
      </c>
      <c r="FW6" t="e">
        <f>AND(Sheet1!#REF!,"AAAAADn/fLI=")</f>
        <v>#REF!</v>
      </c>
      <c r="FX6" t="e">
        <f>AND(Sheet1!#REF!,"AAAAADn/fLM=")</f>
        <v>#REF!</v>
      </c>
      <c r="FY6" t="e">
        <f>AND(Sheet1!#REF!,"AAAAADn/fLQ=")</f>
        <v>#REF!</v>
      </c>
      <c r="FZ6" t="e">
        <f>AND(Sheet1!#REF!,"AAAAADn/fLU=")</f>
        <v>#REF!</v>
      </c>
      <c r="GA6" t="e">
        <f>AND(Sheet1!#REF!,"AAAAADn/fLY=")</f>
        <v>#REF!</v>
      </c>
      <c r="GB6" t="e">
        <f>AND(Sheet1!#REF!,"AAAAADn/fLc=")</f>
        <v>#REF!</v>
      </c>
      <c r="GC6" t="e">
        <f>AND(Sheet1!#REF!,"AAAAADn/fLg=")</f>
        <v>#REF!</v>
      </c>
      <c r="GD6" t="e">
        <f>AND(Sheet1!#REF!,"AAAAADn/fLk=")</f>
        <v>#REF!</v>
      </c>
      <c r="GE6" t="e">
        <f>AND(Sheet1!#REF!,"AAAAADn/fLo=")</f>
        <v>#REF!</v>
      </c>
      <c r="GF6" t="e">
        <f>AND(Sheet1!#REF!,"AAAAADn/fLs=")</f>
        <v>#REF!</v>
      </c>
      <c r="GG6" t="e">
        <f>AND(Sheet1!#REF!,"AAAAADn/fLw=")</f>
        <v>#REF!</v>
      </c>
      <c r="GH6" t="e">
        <f>AND(Sheet1!#REF!,"AAAAADn/fL0=")</f>
        <v>#REF!</v>
      </c>
      <c r="GI6" t="e">
        <f>AND(Sheet1!#REF!,"AAAAADn/fL4=")</f>
        <v>#REF!</v>
      </c>
      <c r="GJ6" t="e">
        <f>AND(Sheet1!#REF!,"AAAAADn/fL8=")</f>
        <v>#REF!</v>
      </c>
      <c r="GK6" t="e">
        <f>IF(Sheet1!#REF!,"AAAAADn/fMA=",0)</f>
        <v>#REF!</v>
      </c>
      <c r="GL6" t="e">
        <f>AND(Sheet1!#REF!,"AAAAADn/fME=")</f>
        <v>#REF!</v>
      </c>
      <c r="GM6" t="e">
        <f>AND(Sheet1!#REF!,"AAAAADn/fMI=")</f>
        <v>#REF!</v>
      </c>
      <c r="GN6" t="e">
        <f>AND(Sheet1!#REF!,"AAAAADn/fMM=")</f>
        <v>#REF!</v>
      </c>
      <c r="GO6" t="e">
        <f>AND(Sheet1!#REF!,"AAAAADn/fMQ=")</f>
        <v>#REF!</v>
      </c>
      <c r="GP6" t="e">
        <f>AND(Sheet1!#REF!,"AAAAADn/fMU=")</f>
        <v>#REF!</v>
      </c>
      <c r="GQ6" t="e">
        <f>AND(Sheet1!#REF!,"AAAAADn/fMY=")</f>
        <v>#REF!</v>
      </c>
      <c r="GR6" t="e">
        <f>AND(Sheet1!#REF!,"AAAAADn/fMc=")</f>
        <v>#REF!</v>
      </c>
      <c r="GS6" t="e">
        <f>AND(Sheet1!#REF!,"AAAAADn/fMg=")</f>
        <v>#REF!</v>
      </c>
      <c r="GT6" t="e">
        <f>AND(Sheet1!#REF!,"AAAAADn/fMk=")</f>
        <v>#REF!</v>
      </c>
      <c r="GU6" t="e">
        <f>AND(Sheet1!#REF!,"AAAAADn/fMo=")</f>
        <v>#REF!</v>
      </c>
      <c r="GV6" t="e">
        <f>AND(Sheet1!#REF!,"AAAAADn/fMs=")</f>
        <v>#REF!</v>
      </c>
      <c r="GW6" t="e">
        <f>AND(Sheet1!#REF!,"AAAAADn/fMw=")</f>
        <v>#REF!</v>
      </c>
      <c r="GX6" t="e">
        <f>AND(Sheet1!#REF!,"AAAAADn/fM0=")</f>
        <v>#REF!</v>
      </c>
      <c r="GY6" t="e">
        <f>AND(Sheet1!#REF!,"AAAAADn/fM4=")</f>
        <v>#REF!</v>
      </c>
      <c r="GZ6" t="e">
        <f>AND(Sheet1!#REF!,"AAAAADn/fM8=")</f>
        <v>#REF!</v>
      </c>
      <c r="HA6" t="e">
        <f>AND(Sheet1!#REF!,"AAAAADn/fNA=")</f>
        <v>#REF!</v>
      </c>
      <c r="HB6" t="e">
        <f>AND(Sheet1!#REF!,"AAAAADn/fNE=")</f>
        <v>#REF!</v>
      </c>
      <c r="HC6" t="e">
        <f>AND(Sheet1!#REF!,"AAAAADn/fNI=")</f>
        <v>#REF!</v>
      </c>
      <c r="HD6" t="e">
        <f>AND(Sheet1!#REF!,"AAAAADn/fNM=")</f>
        <v>#REF!</v>
      </c>
      <c r="HE6" t="e">
        <f>AND(Sheet1!#REF!,"AAAAADn/fNQ=")</f>
        <v>#REF!</v>
      </c>
      <c r="HF6" t="e">
        <f>AND(Sheet1!#REF!,"AAAAADn/fNU=")</f>
        <v>#REF!</v>
      </c>
      <c r="HG6" t="e">
        <f>AND(Sheet1!#REF!,"AAAAADn/fNY=")</f>
        <v>#REF!</v>
      </c>
      <c r="HH6" t="e">
        <f>IF(Sheet1!#REF!,"AAAAADn/fNc=",0)</f>
        <v>#REF!</v>
      </c>
      <c r="HI6" t="e">
        <f>AND(Sheet1!#REF!,"AAAAADn/fNg=")</f>
        <v>#REF!</v>
      </c>
      <c r="HJ6" t="e">
        <f>AND(Sheet1!#REF!,"AAAAADn/fNk=")</f>
        <v>#REF!</v>
      </c>
      <c r="HK6" t="e">
        <f>AND(Sheet1!#REF!,"AAAAADn/fNo=")</f>
        <v>#REF!</v>
      </c>
      <c r="HL6" t="e">
        <f>AND(Sheet1!#REF!,"AAAAADn/fNs=")</f>
        <v>#REF!</v>
      </c>
      <c r="HM6" t="e">
        <f>AND(Sheet1!#REF!,"AAAAADn/fNw=")</f>
        <v>#REF!</v>
      </c>
      <c r="HN6" t="e">
        <f>AND(Sheet1!#REF!,"AAAAADn/fN0=")</f>
        <v>#REF!</v>
      </c>
      <c r="HO6" t="e">
        <f>AND(Sheet1!#REF!,"AAAAADn/fN4=")</f>
        <v>#REF!</v>
      </c>
      <c r="HP6" t="e">
        <f>AND(Sheet1!#REF!,"AAAAADn/fN8=")</f>
        <v>#REF!</v>
      </c>
      <c r="HQ6" t="e">
        <f>AND(Sheet1!#REF!,"AAAAADn/fOA=")</f>
        <v>#REF!</v>
      </c>
      <c r="HR6" t="e">
        <f>AND(Sheet1!#REF!,"AAAAADn/fOE=")</f>
        <v>#REF!</v>
      </c>
      <c r="HS6" t="e">
        <f>AND(Sheet1!#REF!,"AAAAADn/fOI=")</f>
        <v>#REF!</v>
      </c>
      <c r="HT6" t="e">
        <f>AND(Sheet1!#REF!,"AAAAADn/fOM=")</f>
        <v>#REF!</v>
      </c>
      <c r="HU6" t="e">
        <f>AND(Sheet1!#REF!,"AAAAADn/fOQ=")</f>
        <v>#REF!</v>
      </c>
      <c r="HV6" t="e">
        <f>AND(Sheet1!#REF!,"AAAAADn/fOU=")</f>
        <v>#REF!</v>
      </c>
      <c r="HW6" t="e">
        <f>AND(Sheet1!#REF!,"AAAAADn/fOY=")</f>
        <v>#REF!</v>
      </c>
      <c r="HX6" t="e">
        <f>AND(Sheet1!#REF!,"AAAAADn/fOc=")</f>
        <v>#REF!</v>
      </c>
      <c r="HY6" t="e">
        <f>AND(Sheet1!#REF!,"AAAAADn/fOg=")</f>
        <v>#REF!</v>
      </c>
      <c r="HZ6" t="e">
        <f>AND(Sheet1!#REF!,"AAAAADn/fOk=")</f>
        <v>#REF!</v>
      </c>
      <c r="IA6" t="e">
        <f>AND(Sheet1!#REF!,"AAAAADn/fOo=")</f>
        <v>#REF!</v>
      </c>
      <c r="IB6" t="e">
        <f>AND(Sheet1!#REF!,"AAAAADn/fOs=")</f>
        <v>#REF!</v>
      </c>
      <c r="IC6" t="e">
        <f>AND(Sheet1!#REF!,"AAAAADn/fOw=")</f>
        <v>#REF!</v>
      </c>
      <c r="ID6" t="e">
        <f>AND(Sheet1!#REF!,"AAAAADn/fO0=")</f>
        <v>#REF!</v>
      </c>
      <c r="IE6" t="e">
        <f>IF(Sheet1!#REF!,"AAAAADn/fO4=",0)</f>
        <v>#REF!</v>
      </c>
      <c r="IF6" t="e">
        <f>AND(Sheet1!#REF!,"AAAAADn/fO8=")</f>
        <v>#REF!</v>
      </c>
      <c r="IG6" t="e">
        <f>AND(Sheet1!#REF!,"AAAAADn/fPA=")</f>
        <v>#REF!</v>
      </c>
      <c r="IH6" t="e">
        <f>AND(Sheet1!#REF!,"AAAAADn/fPE=")</f>
        <v>#REF!</v>
      </c>
      <c r="II6" t="e">
        <f>AND(Sheet1!#REF!,"AAAAADn/fPI=")</f>
        <v>#REF!</v>
      </c>
      <c r="IJ6" t="e">
        <f>AND(Sheet1!#REF!,"AAAAADn/fPM=")</f>
        <v>#REF!</v>
      </c>
      <c r="IK6" t="e">
        <f>AND(Sheet1!#REF!,"AAAAADn/fPQ=")</f>
        <v>#REF!</v>
      </c>
      <c r="IL6" t="e">
        <f>AND(Sheet1!#REF!,"AAAAADn/fPU=")</f>
        <v>#REF!</v>
      </c>
      <c r="IM6" t="e">
        <f>AND(Sheet1!#REF!,"AAAAADn/fPY=")</f>
        <v>#REF!</v>
      </c>
      <c r="IN6" t="e">
        <f>AND(Sheet1!#REF!,"AAAAADn/fPc=")</f>
        <v>#REF!</v>
      </c>
      <c r="IO6" t="e">
        <f>AND(Sheet1!#REF!,"AAAAADn/fPg=")</f>
        <v>#REF!</v>
      </c>
      <c r="IP6" t="e">
        <f>AND(Sheet1!#REF!,"AAAAADn/fPk=")</f>
        <v>#REF!</v>
      </c>
      <c r="IQ6" t="e">
        <f>AND(Sheet1!#REF!,"AAAAADn/fPo=")</f>
        <v>#REF!</v>
      </c>
      <c r="IR6" t="e">
        <f>AND(Sheet1!#REF!,"AAAAADn/fPs=")</f>
        <v>#REF!</v>
      </c>
      <c r="IS6" t="e">
        <f>AND(Sheet1!#REF!,"AAAAADn/fPw=")</f>
        <v>#REF!</v>
      </c>
      <c r="IT6" t="e">
        <f>AND(Sheet1!#REF!,"AAAAADn/fP0=")</f>
        <v>#REF!</v>
      </c>
      <c r="IU6" t="e">
        <f>AND(Sheet1!#REF!,"AAAAADn/fP4=")</f>
        <v>#REF!</v>
      </c>
      <c r="IV6" t="e">
        <f>AND(Sheet1!#REF!,"AAAAADn/fP8=")</f>
        <v>#REF!</v>
      </c>
    </row>
    <row r="7" spans="1:256" ht="12.75">
      <c r="A7" t="e">
        <f>AND(Sheet1!#REF!,"AAAAAD7X7wA=")</f>
        <v>#REF!</v>
      </c>
      <c r="B7" t="e">
        <f>AND(Sheet1!#REF!,"AAAAAD7X7wE=")</f>
        <v>#REF!</v>
      </c>
      <c r="C7" t="e">
        <f>AND(Sheet1!#REF!,"AAAAAD7X7wI=")</f>
        <v>#REF!</v>
      </c>
      <c r="D7" t="e">
        <f>AND(Sheet1!#REF!,"AAAAAD7X7wM=")</f>
        <v>#REF!</v>
      </c>
      <c r="E7" t="e">
        <f>AND(Sheet1!#REF!,"AAAAAD7X7wQ=")</f>
        <v>#REF!</v>
      </c>
      <c r="F7" t="e">
        <f>IF(Sheet1!#REF!,"AAAAAD7X7wU=",0)</f>
        <v>#REF!</v>
      </c>
      <c r="G7" t="e">
        <f>AND(Sheet1!#REF!,"AAAAAD7X7wY=")</f>
        <v>#REF!</v>
      </c>
      <c r="H7" t="e">
        <f>AND(Sheet1!#REF!,"AAAAAD7X7wc=")</f>
        <v>#REF!</v>
      </c>
      <c r="I7" t="e">
        <f>AND(Sheet1!#REF!,"AAAAAD7X7wg=")</f>
        <v>#REF!</v>
      </c>
      <c r="J7" t="e">
        <f>AND(Sheet1!#REF!,"AAAAAD7X7wk=")</f>
        <v>#REF!</v>
      </c>
      <c r="K7" t="e">
        <f>AND(Sheet1!#REF!,"AAAAAD7X7wo=")</f>
        <v>#REF!</v>
      </c>
      <c r="L7" t="e">
        <f>AND(Sheet1!#REF!,"AAAAAD7X7ws=")</f>
        <v>#REF!</v>
      </c>
      <c r="M7" t="e">
        <f>AND(Sheet1!#REF!,"AAAAAD7X7ww=")</f>
        <v>#REF!</v>
      </c>
      <c r="N7" t="e">
        <f>AND(Sheet1!#REF!,"AAAAAD7X7w0=")</f>
        <v>#REF!</v>
      </c>
      <c r="O7" t="e">
        <f>AND(Sheet1!#REF!,"AAAAAD7X7w4=")</f>
        <v>#REF!</v>
      </c>
      <c r="P7" t="e">
        <f>AND(Sheet1!#REF!,"AAAAAD7X7w8=")</f>
        <v>#REF!</v>
      </c>
      <c r="Q7" t="e">
        <f>AND(Sheet1!#REF!,"AAAAAD7X7xA=")</f>
        <v>#REF!</v>
      </c>
      <c r="R7" t="e">
        <f>AND(Sheet1!#REF!,"AAAAAD7X7xE=")</f>
        <v>#REF!</v>
      </c>
      <c r="S7" t="e">
        <f>AND(Sheet1!#REF!,"AAAAAD7X7xI=")</f>
        <v>#REF!</v>
      </c>
      <c r="T7" t="e">
        <f>AND(Sheet1!#REF!,"AAAAAD7X7xM=")</f>
        <v>#REF!</v>
      </c>
      <c r="U7" t="e">
        <f>AND(Sheet1!#REF!,"AAAAAD7X7xQ=")</f>
        <v>#REF!</v>
      </c>
      <c r="V7" t="e">
        <f>AND(Sheet1!#REF!,"AAAAAD7X7xU=")</f>
        <v>#REF!</v>
      </c>
      <c r="W7" t="e">
        <f>AND(Sheet1!#REF!,"AAAAAD7X7xY=")</f>
        <v>#REF!</v>
      </c>
      <c r="X7" t="e">
        <f>AND(Sheet1!#REF!,"AAAAAD7X7xc=")</f>
        <v>#REF!</v>
      </c>
      <c r="Y7" t="e">
        <f>AND(Sheet1!#REF!,"AAAAAD7X7xg=")</f>
        <v>#REF!</v>
      </c>
      <c r="Z7" t="e">
        <f>AND(Sheet1!#REF!,"AAAAAD7X7xk=")</f>
        <v>#REF!</v>
      </c>
      <c r="AA7" t="e">
        <f>AND(Sheet1!#REF!,"AAAAAD7X7xo=")</f>
        <v>#REF!</v>
      </c>
      <c r="AB7" t="e">
        <f>AND(Sheet1!#REF!,"AAAAAD7X7xs=")</f>
        <v>#REF!</v>
      </c>
      <c r="AC7" t="e">
        <f>IF(Sheet1!#REF!,"AAAAAD7X7xw=",0)</f>
        <v>#REF!</v>
      </c>
      <c r="AD7" t="e">
        <f>AND(Sheet1!#REF!,"AAAAAD7X7x0=")</f>
        <v>#REF!</v>
      </c>
      <c r="AE7" t="e">
        <f>AND(Sheet1!#REF!,"AAAAAD7X7x4=")</f>
        <v>#REF!</v>
      </c>
      <c r="AF7" t="e">
        <f>AND(Sheet1!#REF!,"AAAAAD7X7x8=")</f>
        <v>#REF!</v>
      </c>
      <c r="AG7" t="e">
        <f>AND(Sheet1!#REF!,"AAAAAD7X7yA=")</f>
        <v>#REF!</v>
      </c>
      <c r="AH7" t="e">
        <f>AND(Sheet1!#REF!,"AAAAAD7X7yE=")</f>
        <v>#REF!</v>
      </c>
      <c r="AI7" t="e">
        <f>AND(Sheet1!#REF!,"AAAAAD7X7yI=")</f>
        <v>#REF!</v>
      </c>
      <c r="AJ7" t="e">
        <f>AND(Sheet1!#REF!,"AAAAAD7X7yM=")</f>
        <v>#REF!</v>
      </c>
      <c r="AK7" t="e">
        <f>AND(Sheet1!#REF!,"AAAAAD7X7yQ=")</f>
        <v>#REF!</v>
      </c>
      <c r="AL7" t="e">
        <f>AND(Sheet1!#REF!,"AAAAAD7X7yU=")</f>
        <v>#REF!</v>
      </c>
      <c r="AM7" t="e">
        <f>AND(Sheet1!#REF!,"AAAAAD7X7yY=")</f>
        <v>#REF!</v>
      </c>
      <c r="AN7" t="e">
        <f>AND(Sheet1!#REF!,"AAAAAD7X7yc=")</f>
        <v>#REF!</v>
      </c>
      <c r="AO7" t="e">
        <f>AND(Sheet1!#REF!,"AAAAAD7X7yg=")</f>
        <v>#REF!</v>
      </c>
      <c r="AP7" t="e">
        <f>AND(Sheet1!#REF!,"AAAAAD7X7yk=")</f>
        <v>#REF!</v>
      </c>
      <c r="AQ7" t="e">
        <f>AND(Sheet1!#REF!,"AAAAAD7X7yo=")</f>
        <v>#REF!</v>
      </c>
      <c r="AR7" t="e">
        <f>AND(Sheet1!#REF!,"AAAAAD7X7ys=")</f>
        <v>#REF!</v>
      </c>
      <c r="AS7" t="e">
        <f>AND(Sheet1!#REF!,"AAAAAD7X7yw=")</f>
        <v>#REF!</v>
      </c>
      <c r="AT7" t="e">
        <f>AND(Sheet1!#REF!,"AAAAAD7X7y0=")</f>
        <v>#REF!</v>
      </c>
      <c r="AU7" t="e">
        <f>AND(Sheet1!#REF!,"AAAAAD7X7y4=")</f>
        <v>#REF!</v>
      </c>
      <c r="AV7" t="e">
        <f>AND(Sheet1!#REF!,"AAAAAD7X7y8=")</f>
        <v>#REF!</v>
      </c>
      <c r="AW7" t="e">
        <f>AND(Sheet1!#REF!,"AAAAAD7X7zA=")</f>
        <v>#REF!</v>
      </c>
      <c r="AX7" t="e">
        <f>AND(Sheet1!#REF!,"AAAAAD7X7zE=")</f>
        <v>#REF!</v>
      </c>
      <c r="AY7" t="e">
        <f>AND(Sheet1!#REF!,"AAAAAD7X7zI=")</f>
        <v>#REF!</v>
      </c>
      <c r="AZ7" t="e">
        <f>IF(Sheet1!#REF!,"AAAAAD7X7zM=",0)</f>
        <v>#REF!</v>
      </c>
      <c r="BA7" t="e">
        <f>AND(Sheet1!#REF!,"AAAAAD7X7zQ=")</f>
        <v>#REF!</v>
      </c>
      <c r="BB7" t="e">
        <f>AND(Sheet1!#REF!,"AAAAAD7X7zU=")</f>
        <v>#REF!</v>
      </c>
      <c r="BC7" t="e">
        <f>AND(Sheet1!#REF!,"AAAAAD7X7zY=")</f>
        <v>#REF!</v>
      </c>
      <c r="BD7" t="e">
        <f>AND(Sheet1!#REF!,"AAAAAD7X7zc=")</f>
        <v>#REF!</v>
      </c>
      <c r="BE7" t="e">
        <f>AND(Sheet1!#REF!,"AAAAAD7X7zg=")</f>
        <v>#REF!</v>
      </c>
      <c r="BF7" t="e">
        <f>AND(Sheet1!#REF!,"AAAAAD7X7zk=")</f>
        <v>#REF!</v>
      </c>
      <c r="BG7" t="e">
        <f>AND(Sheet1!#REF!,"AAAAAD7X7zo=")</f>
        <v>#REF!</v>
      </c>
      <c r="BH7" t="e">
        <f>AND(Sheet1!#REF!,"AAAAAD7X7zs=")</f>
        <v>#REF!</v>
      </c>
      <c r="BI7" t="e">
        <f>AND(Sheet1!#REF!,"AAAAAD7X7zw=")</f>
        <v>#REF!</v>
      </c>
      <c r="BJ7" t="e">
        <f>AND(Sheet1!#REF!,"AAAAAD7X7z0=")</f>
        <v>#REF!</v>
      </c>
      <c r="BK7" t="e">
        <f>AND(Sheet1!#REF!,"AAAAAD7X7z4=")</f>
        <v>#REF!</v>
      </c>
      <c r="BL7" t="e">
        <f>AND(Sheet1!#REF!,"AAAAAD7X7z8=")</f>
        <v>#REF!</v>
      </c>
      <c r="BM7" t="e">
        <f>AND(Sheet1!#REF!,"AAAAAD7X70A=")</f>
        <v>#REF!</v>
      </c>
      <c r="BN7" t="e">
        <f>AND(Sheet1!#REF!,"AAAAAD7X70E=")</f>
        <v>#REF!</v>
      </c>
      <c r="BO7" t="e">
        <f>AND(Sheet1!#REF!,"AAAAAD7X70I=")</f>
        <v>#REF!</v>
      </c>
      <c r="BP7" t="e">
        <f>AND(Sheet1!#REF!,"AAAAAD7X70M=")</f>
        <v>#REF!</v>
      </c>
      <c r="BQ7" t="e">
        <f>AND(Sheet1!#REF!,"AAAAAD7X70Q=")</f>
        <v>#REF!</v>
      </c>
      <c r="BR7" t="e">
        <f>AND(Sheet1!#REF!,"AAAAAD7X70U=")</f>
        <v>#REF!</v>
      </c>
      <c r="BS7" t="e">
        <f>AND(Sheet1!#REF!,"AAAAAD7X70Y=")</f>
        <v>#REF!</v>
      </c>
      <c r="BT7" t="e">
        <f>AND(Sheet1!#REF!,"AAAAAD7X70c=")</f>
        <v>#REF!</v>
      </c>
      <c r="BU7" t="e">
        <f>AND(Sheet1!#REF!,"AAAAAD7X70g=")</f>
        <v>#REF!</v>
      </c>
      <c r="BV7" t="e">
        <f>AND(Sheet1!#REF!,"AAAAAD7X70k=")</f>
        <v>#REF!</v>
      </c>
      <c r="BW7" t="e">
        <f>IF(Sheet1!#REF!,"AAAAAD7X70o=",0)</f>
        <v>#REF!</v>
      </c>
      <c r="BX7" t="e">
        <f>AND(Sheet1!#REF!,"AAAAAD7X70s=")</f>
        <v>#REF!</v>
      </c>
      <c r="BY7" t="e">
        <f>AND(Sheet1!#REF!,"AAAAAD7X70w=")</f>
        <v>#REF!</v>
      </c>
      <c r="BZ7" t="e">
        <f>AND(Sheet1!#REF!,"AAAAAD7X700=")</f>
        <v>#REF!</v>
      </c>
      <c r="CA7" t="e">
        <f>AND(Sheet1!#REF!,"AAAAAD7X704=")</f>
        <v>#REF!</v>
      </c>
      <c r="CB7" t="e">
        <f>AND(Sheet1!#REF!,"AAAAAD7X708=")</f>
        <v>#REF!</v>
      </c>
      <c r="CC7" t="e">
        <f>AND(Sheet1!#REF!,"AAAAAD7X71A=")</f>
        <v>#REF!</v>
      </c>
      <c r="CD7" t="e">
        <f>AND(Sheet1!#REF!,"AAAAAD7X71E=")</f>
        <v>#REF!</v>
      </c>
      <c r="CE7" t="e">
        <f>AND(Sheet1!#REF!,"AAAAAD7X71I=")</f>
        <v>#REF!</v>
      </c>
      <c r="CF7" t="e">
        <f>AND(Sheet1!#REF!,"AAAAAD7X71M=")</f>
        <v>#REF!</v>
      </c>
      <c r="CG7" t="e">
        <f>AND(Sheet1!#REF!,"AAAAAD7X71Q=")</f>
        <v>#REF!</v>
      </c>
      <c r="CH7" t="e">
        <f>AND(Sheet1!#REF!,"AAAAAD7X71U=")</f>
        <v>#REF!</v>
      </c>
      <c r="CI7" t="e">
        <f>AND(Sheet1!#REF!,"AAAAAD7X71Y=")</f>
        <v>#REF!</v>
      </c>
      <c r="CJ7" t="e">
        <f>AND(Sheet1!#REF!,"AAAAAD7X71c=")</f>
        <v>#REF!</v>
      </c>
      <c r="CK7" t="e">
        <f>AND(Sheet1!#REF!,"AAAAAD7X71g=")</f>
        <v>#REF!</v>
      </c>
      <c r="CL7" t="e">
        <f>AND(Sheet1!#REF!,"AAAAAD7X71k=")</f>
        <v>#REF!</v>
      </c>
      <c r="CM7" t="e">
        <f>AND(Sheet1!#REF!,"AAAAAD7X71o=")</f>
        <v>#REF!</v>
      </c>
      <c r="CN7" t="e">
        <f>AND(Sheet1!#REF!,"AAAAAD7X71s=")</f>
        <v>#REF!</v>
      </c>
      <c r="CO7" t="e">
        <f>AND(Sheet1!#REF!,"AAAAAD7X71w=")</f>
        <v>#REF!</v>
      </c>
      <c r="CP7" t="e">
        <f>AND(Sheet1!#REF!,"AAAAAD7X710=")</f>
        <v>#REF!</v>
      </c>
      <c r="CQ7" t="e">
        <f>AND(Sheet1!#REF!,"AAAAAD7X714=")</f>
        <v>#REF!</v>
      </c>
      <c r="CR7" t="e">
        <f>AND(Sheet1!#REF!,"AAAAAD7X718=")</f>
        <v>#REF!</v>
      </c>
      <c r="CS7" t="e">
        <f>AND(Sheet1!#REF!,"AAAAAD7X72A=")</f>
        <v>#REF!</v>
      </c>
      <c r="CT7" t="e">
        <f>IF(Sheet1!#REF!,"AAAAAD7X72E=",0)</f>
        <v>#REF!</v>
      </c>
      <c r="CU7" t="e">
        <f>AND(Sheet1!#REF!,"AAAAAD7X72I=")</f>
        <v>#REF!</v>
      </c>
      <c r="CV7" t="e">
        <f>AND(Sheet1!#REF!,"AAAAAD7X72M=")</f>
        <v>#REF!</v>
      </c>
      <c r="CW7" t="e">
        <f>AND(Sheet1!#REF!,"AAAAAD7X72Q=")</f>
        <v>#REF!</v>
      </c>
      <c r="CX7" t="e">
        <f>AND(Sheet1!#REF!,"AAAAAD7X72U=")</f>
        <v>#REF!</v>
      </c>
      <c r="CY7" t="e">
        <f>AND(Sheet1!#REF!,"AAAAAD7X72Y=")</f>
        <v>#REF!</v>
      </c>
      <c r="CZ7" t="e">
        <f>AND(Sheet1!#REF!,"AAAAAD7X72c=")</f>
        <v>#REF!</v>
      </c>
      <c r="DA7" t="e">
        <f>AND(Sheet1!#REF!,"AAAAAD7X72g=")</f>
        <v>#REF!</v>
      </c>
      <c r="DB7" t="e">
        <f>AND(Sheet1!#REF!,"AAAAAD7X72k=")</f>
        <v>#REF!</v>
      </c>
      <c r="DC7" t="e">
        <f>AND(Sheet1!#REF!,"AAAAAD7X72o=")</f>
        <v>#REF!</v>
      </c>
      <c r="DD7" t="e">
        <f>AND(Sheet1!#REF!,"AAAAAD7X72s=")</f>
        <v>#REF!</v>
      </c>
      <c r="DE7" t="e">
        <f>AND(Sheet1!#REF!,"AAAAAD7X72w=")</f>
        <v>#REF!</v>
      </c>
      <c r="DF7" t="e">
        <f>AND(Sheet1!#REF!,"AAAAAD7X720=")</f>
        <v>#REF!</v>
      </c>
      <c r="DG7" t="e">
        <f>AND(Sheet1!#REF!,"AAAAAD7X724=")</f>
        <v>#REF!</v>
      </c>
      <c r="DH7" t="e">
        <f>AND(Sheet1!#REF!,"AAAAAD7X728=")</f>
        <v>#REF!</v>
      </c>
      <c r="DI7" t="e">
        <f>AND(Sheet1!#REF!,"AAAAAD7X73A=")</f>
        <v>#REF!</v>
      </c>
      <c r="DJ7" t="e">
        <f>AND(Sheet1!#REF!,"AAAAAD7X73E=")</f>
        <v>#REF!</v>
      </c>
      <c r="DK7" t="e">
        <f>AND(Sheet1!#REF!,"AAAAAD7X73I=")</f>
        <v>#REF!</v>
      </c>
      <c r="DL7" t="e">
        <f>AND(Sheet1!#REF!,"AAAAAD7X73M=")</f>
        <v>#REF!</v>
      </c>
      <c r="DM7" t="e">
        <f>AND(Sheet1!#REF!,"AAAAAD7X73Q=")</f>
        <v>#REF!</v>
      </c>
      <c r="DN7" t="e">
        <f>AND(Sheet1!#REF!,"AAAAAD7X73U=")</f>
        <v>#REF!</v>
      </c>
      <c r="DO7" t="e">
        <f>AND(Sheet1!#REF!,"AAAAAD7X73Y=")</f>
        <v>#REF!</v>
      </c>
      <c r="DP7" t="e">
        <f>AND(Sheet1!#REF!,"AAAAAD7X73c=")</f>
        <v>#REF!</v>
      </c>
      <c r="DQ7" t="e">
        <f>IF(Sheet1!#REF!,"AAAAAD7X73g=",0)</f>
        <v>#REF!</v>
      </c>
      <c r="DR7" t="e">
        <f>AND(Sheet1!#REF!,"AAAAAD7X73k=")</f>
        <v>#REF!</v>
      </c>
      <c r="DS7" t="e">
        <f>AND(Sheet1!#REF!,"AAAAAD7X73o=")</f>
        <v>#REF!</v>
      </c>
      <c r="DT7" t="e">
        <f>AND(Sheet1!#REF!,"AAAAAD7X73s=")</f>
        <v>#REF!</v>
      </c>
      <c r="DU7" t="e">
        <f>AND(Sheet1!#REF!,"AAAAAD7X73w=")</f>
        <v>#REF!</v>
      </c>
      <c r="DV7" t="e">
        <f>AND(Sheet1!#REF!,"AAAAAD7X730=")</f>
        <v>#REF!</v>
      </c>
      <c r="DW7" t="e">
        <f>AND(Sheet1!#REF!,"AAAAAD7X734=")</f>
        <v>#REF!</v>
      </c>
      <c r="DX7" t="e">
        <f>AND(Sheet1!#REF!,"AAAAAD7X738=")</f>
        <v>#REF!</v>
      </c>
      <c r="DY7" t="e">
        <f>AND(Sheet1!#REF!,"AAAAAD7X74A=")</f>
        <v>#REF!</v>
      </c>
      <c r="DZ7" t="e">
        <f>AND(Sheet1!#REF!,"AAAAAD7X74E=")</f>
        <v>#REF!</v>
      </c>
      <c r="EA7" t="e">
        <f>AND(Sheet1!#REF!,"AAAAAD7X74I=")</f>
        <v>#REF!</v>
      </c>
      <c r="EB7" t="e">
        <f>AND(Sheet1!#REF!,"AAAAAD7X74M=")</f>
        <v>#REF!</v>
      </c>
      <c r="EC7" t="e">
        <f>AND(Sheet1!#REF!,"AAAAAD7X74Q=")</f>
        <v>#REF!</v>
      </c>
      <c r="ED7" t="e">
        <f>AND(Sheet1!#REF!,"AAAAAD7X74U=")</f>
        <v>#REF!</v>
      </c>
      <c r="EE7" t="e">
        <f>AND(Sheet1!#REF!,"AAAAAD7X74Y=")</f>
        <v>#REF!</v>
      </c>
      <c r="EF7" t="e">
        <f>AND(Sheet1!#REF!,"AAAAAD7X74c=")</f>
        <v>#REF!</v>
      </c>
      <c r="EG7" t="e">
        <f>AND(Sheet1!#REF!,"AAAAAD7X74g=")</f>
        <v>#REF!</v>
      </c>
      <c r="EH7" t="e">
        <f>AND(Sheet1!#REF!,"AAAAAD7X74k=")</f>
        <v>#REF!</v>
      </c>
      <c r="EI7" t="e">
        <f>AND(Sheet1!#REF!,"AAAAAD7X74o=")</f>
        <v>#REF!</v>
      </c>
      <c r="EJ7" t="e">
        <f>AND(Sheet1!#REF!,"AAAAAD7X74s=")</f>
        <v>#REF!</v>
      </c>
      <c r="EK7" t="e">
        <f>AND(Sheet1!#REF!,"AAAAAD7X74w=")</f>
        <v>#REF!</v>
      </c>
      <c r="EL7" t="e">
        <f>AND(Sheet1!#REF!,"AAAAAD7X740=")</f>
        <v>#REF!</v>
      </c>
      <c r="EM7" t="e">
        <f>AND(Sheet1!#REF!,"AAAAAD7X744=")</f>
        <v>#REF!</v>
      </c>
      <c r="EN7">
        <f>IF(Sheet1!56:56,"AAAAAD7X748=",0)</f>
        <v>0</v>
      </c>
      <c r="EO7" t="e">
        <f>AND(Sheet1!A56,"AAAAAD7X75A=")</f>
        <v>#VALUE!</v>
      </c>
      <c r="EP7" t="e">
        <f>AND(Sheet1!#REF!,"AAAAAD7X75E=")</f>
        <v>#REF!</v>
      </c>
      <c r="EQ7" t="e">
        <f>AND(Sheet1!C56,"AAAAAD7X75I=")</f>
        <v>#VALUE!</v>
      </c>
      <c r="ER7" t="e">
        <f>AND(Sheet1!D56,"AAAAAD7X75M=")</f>
        <v>#VALUE!</v>
      </c>
      <c r="ES7" t="e">
        <f>AND(Sheet1!E56,"AAAAAD7X75Q=")</f>
        <v>#VALUE!</v>
      </c>
      <c r="ET7" t="e">
        <f>AND(Sheet1!#REF!,"AAAAAD7X75U=")</f>
        <v>#REF!</v>
      </c>
      <c r="EU7" t="e">
        <f>AND(Sheet1!G56,"AAAAAD7X75Y=")</f>
        <v>#VALUE!</v>
      </c>
      <c r="EV7" t="e">
        <f>AND(Sheet1!I56,"AAAAAD7X75c=")</f>
        <v>#VALUE!</v>
      </c>
      <c r="EW7" t="e">
        <f>AND(Sheet1!J56,"AAAAAD7X75g=")</f>
        <v>#VALUE!</v>
      </c>
      <c r="EX7" t="e">
        <f>AND(Sheet1!K56,"AAAAAD7X75k=")</f>
        <v>#VALUE!</v>
      </c>
      <c r="EY7" t="e">
        <f>AND(Sheet1!L56,"AAAAAD7X75o=")</f>
        <v>#VALUE!</v>
      </c>
      <c r="EZ7" t="e">
        <f>AND(Sheet1!M56,"AAAAAD7X75s=")</f>
        <v>#VALUE!</v>
      </c>
      <c r="FA7" t="e">
        <f>AND(Sheet1!N56,"AAAAAD7X75w=")</f>
        <v>#VALUE!</v>
      </c>
      <c r="FB7" t="e">
        <f>AND(Sheet1!O56,"AAAAAD7X750=")</f>
        <v>#VALUE!</v>
      </c>
      <c r="FC7" t="e">
        <f>AND(Sheet1!P56,"AAAAAD7X754=")</f>
        <v>#VALUE!</v>
      </c>
      <c r="FD7" t="e">
        <f>AND(Sheet1!Q56,"AAAAAD7X758=")</f>
        <v>#VALUE!</v>
      </c>
      <c r="FE7" t="e">
        <f>AND(Sheet1!R56,"AAAAAD7X76A=")</f>
        <v>#VALUE!</v>
      </c>
      <c r="FF7" t="e">
        <f>AND(Sheet1!S56,"AAAAAD7X76E=")</f>
        <v>#VALUE!</v>
      </c>
      <c r="FG7" t="e">
        <f>AND(Sheet1!T56,"AAAAAD7X76I=")</f>
        <v>#VALUE!</v>
      </c>
      <c r="FH7" t="e">
        <f>AND(Sheet1!U56,"AAAAAD7X76M=")</f>
        <v>#VALUE!</v>
      </c>
      <c r="FI7" t="e">
        <f>AND(Sheet1!V56,"AAAAAD7X76Q=")</f>
        <v>#VALUE!</v>
      </c>
      <c r="FJ7" t="e">
        <f>AND(Sheet1!W56,"AAAAAD7X76U=")</f>
        <v>#VALUE!</v>
      </c>
      <c r="FK7">
        <f>IF(Sheet1!84:84,"AAAAAD7X76Y=",0)</f>
        <v>0</v>
      </c>
      <c r="FL7" t="e">
        <f>AND(Sheet1!A84,"AAAAAD7X76c=")</f>
        <v>#VALUE!</v>
      </c>
      <c r="FM7" t="e">
        <f>AND(Sheet1!#REF!,"AAAAAD7X76g=")</f>
        <v>#REF!</v>
      </c>
      <c r="FN7" t="e">
        <f>AND(Sheet1!C84,"AAAAAD7X76k=")</f>
        <v>#VALUE!</v>
      </c>
      <c r="FO7" t="e">
        <f>AND(Sheet1!D84,"AAAAAD7X76o=")</f>
        <v>#VALUE!</v>
      </c>
      <c r="FP7" t="e">
        <f>AND(Sheet1!E84,"AAAAAD7X76s=")</f>
        <v>#VALUE!</v>
      </c>
      <c r="FQ7" t="e">
        <f>AND(Sheet1!#REF!,"AAAAAD7X76w=")</f>
        <v>#REF!</v>
      </c>
      <c r="FR7" t="e">
        <f>AND(Sheet1!G84,"AAAAAD7X760=")</f>
        <v>#VALUE!</v>
      </c>
      <c r="FS7" t="e">
        <f>AND(Sheet1!I84,"AAAAAD7X764=")</f>
        <v>#VALUE!</v>
      </c>
      <c r="FT7" t="e">
        <f>AND(Sheet1!J84,"AAAAAD7X768=")</f>
        <v>#VALUE!</v>
      </c>
      <c r="FU7" t="e">
        <f>AND(Sheet1!K84,"AAAAAD7X77A=")</f>
        <v>#VALUE!</v>
      </c>
      <c r="FV7" t="e">
        <f>AND(Sheet1!L84,"AAAAAD7X77E=")</f>
        <v>#VALUE!</v>
      </c>
      <c r="FW7" t="e">
        <f>AND(Sheet1!M84,"AAAAAD7X77I=")</f>
        <v>#VALUE!</v>
      </c>
      <c r="FX7" t="e">
        <f>AND(Sheet1!N84,"AAAAAD7X77M=")</f>
        <v>#VALUE!</v>
      </c>
      <c r="FY7" t="e">
        <f>AND(Sheet1!O84,"AAAAAD7X77Q=")</f>
        <v>#VALUE!</v>
      </c>
      <c r="FZ7" t="e">
        <f>AND(Sheet1!P84,"AAAAAD7X77U=")</f>
        <v>#VALUE!</v>
      </c>
      <c r="GA7" t="e">
        <f>AND(Sheet1!Q84,"AAAAAD7X77Y=")</f>
        <v>#VALUE!</v>
      </c>
      <c r="GB7" t="e">
        <f>AND(Sheet1!R84,"AAAAAD7X77c=")</f>
        <v>#VALUE!</v>
      </c>
      <c r="GC7" t="e">
        <f>AND(Sheet1!S84,"AAAAAD7X77g=")</f>
        <v>#VALUE!</v>
      </c>
      <c r="GD7" t="e">
        <f>AND(Sheet1!T84,"AAAAAD7X77k=")</f>
        <v>#VALUE!</v>
      </c>
      <c r="GE7" t="e">
        <f>AND(Sheet1!U84,"AAAAAD7X77o=")</f>
        <v>#VALUE!</v>
      </c>
      <c r="GF7" t="e">
        <f>AND(Sheet1!V84,"AAAAAD7X77s=")</f>
        <v>#VALUE!</v>
      </c>
      <c r="GG7" t="e">
        <f>AND(Sheet1!W84,"AAAAAD7X77w=")</f>
        <v>#VALUE!</v>
      </c>
      <c r="GH7" t="e">
        <f>IF(Sheet1!#REF!,"AAAAAD7X770=",0)</f>
        <v>#REF!</v>
      </c>
      <c r="GI7" t="e">
        <f>AND(Sheet1!#REF!,"AAAAAD7X774=")</f>
        <v>#REF!</v>
      </c>
      <c r="GJ7" t="e">
        <f>AND(Sheet1!#REF!,"AAAAAD7X778=")</f>
        <v>#REF!</v>
      </c>
      <c r="GK7" t="e">
        <f>AND(Sheet1!#REF!,"AAAAAD7X78A=")</f>
        <v>#REF!</v>
      </c>
      <c r="GL7" t="e">
        <f>AND(Sheet1!#REF!,"AAAAAD7X78E=")</f>
        <v>#REF!</v>
      </c>
      <c r="GM7" t="e">
        <f>AND(Sheet1!#REF!,"AAAAAD7X78I=")</f>
        <v>#REF!</v>
      </c>
      <c r="GN7" t="e">
        <f>AND(Sheet1!#REF!,"AAAAAD7X78M=")</f>
        <v>#REF!</v>
      </c>
      <c r="GO7" t="e">
        <f>AND(Sheet1!#REF!,"AAAAAD7X78Q=")</f>
        <v>#REF!</v>
      </c>
      <c r="GP7" t="e">
        <f>AND(Sheet1!#REF!,"AAAAAD7X78U=")</f>
        <v>#REF!</v>
      </c>
      <c r="GQ7" t="e">
        <f>AND(Sheet1!#REF!,"AAAAAD7X78Y=")</f>
        <v>#REF!</v>
      </c>
      <c r="GR7" t="e">
        <f>AND(Sheet1!#REF!,"AAAAAD7X78c=")</f>
        <v>#REF!</v>
      </c>
      <c r="GS7" t="e">
        <f>AND(Sheet1!#REF!,"AAAAAD7X78g=")</f>
        <v>#REF!</v>
      </c>
      <c r="GT7" t="e">
        <f>AND(Sheet1!#REF!,"AAAAAD7X78k=")</f>
        <v>#REF!</v>
      </c>
      <c r="GU7" t="e">
        <f>AND(Sheet1!#REF!,"AAAAAD7X78o=")</f>
        <v>#REF!</v>
      </c>
      <c r="GV7" t="e">
        <f>AND(Sheet1!#REF!,"AAAAAD7X78s=")</f>
        <v>#REF!</v>
      </c>
      <c r="GW7" t="e">
        <f>AND(Sheet1!#REF!,"AAAAAD7X78w=")</f>
        <v>#REF!</v>
      </c>
      <c r="GX7" t="e">
        <f>AND(Sheet1!#REF!,"AAAAAD7X780=")</f>
        <v>#REF!</v>
      </c>
      <c r="GY7" t="e">
        <f>AND(Sheet1!#REF!,"AAAAAD7X784=")</f>
        <v>#REF!</v>
      </c>
      <c r="GZ7" t="e">
        <f>AND(Sheet1!#REF!,"AAAAAD7X788=")</f>
        <v>#REF!</v>
      </c>
      <c r="HA7" t="e">
        <f>AND(Sheet1!#REF!,"AAAAAD7X79A=")</f>
        <v>#REF!</v>
      </c>
      <c r="HB7" t="e">
        <f>AND(Sheet1!#REF!,"AAAAAD7X79E=")</f>
        <v>#REF!</v>
      </c>
      <c r="HC7" t="e">
        <f>AND(Sheet1!#REF!,"AAAAAD7X79I=")</f>
        <v>#REF!</v>
      </c>
      <c r="HD7" t="e">
        <f>AND(Sheet1!#REF!,"AAAAAD7X79M=")</f>
        <v>#REF!</v>
      </c>
      <c r="HE7" t="e">
        <f>IF(Sheet1!#REF!,"AAAAAD7X79Q=",0)</f>
        <v>#REF!</v>
      </c>
      <c r="HF7" t="e">
        <f>AND(Sheet1!#REF!,"AAAAAD7X79U=")</f>
        <v>#REF!</v>
      </c>
      <c r="HG7" t="e">
        <f>AND(Sheet1!#REF!,"AAAAAD7X79Y=")</f>
        <v>#REF!</v>
      </c>
      <c r="HH7" t="e">
        <f>AND(Sheet1!#REF!,"AAAAAD7X79c=")</f>
        <v>#REF!</v>
      </c>
      <c r="HI7" t="e">
        <f>AND(Sheet1!#REF!,"AAAAAD7X79g=")</f>
        <v>#REF!</v>
      </c>
      <c r="HJ7" t="e">
        <f>AND(Sheet1!#REF!,"AAAAAD7X79k=")</f>
        <v>#REF!</v>
      </c>
      <c r="HK7" t="e">
        <f>AND(Sheet1!#REF!,"AAAAAD7X79o=")</f>
        <v>#REF!</v>
      </c>
      <c r="HL7" t="e">
        <f>AND(Sheet1!#REF!,"AAAAAD7X79s=")</f>
        <v>#REF!</v>
      </c>
      <c r="HM7" t="e">
        <f>AND(Sheet1!#REF!,"AAAAAD7X79w=")</f>
        <v>#REF!</v>
      </c>
      <c r="HN7" t="e">
        <f>AND(Sheet1!#REF!,"AAAAAD7X790=")</f>
        <v>#REF!</v>
      </c>
      <c r="HO7" t="e">
        <f>AND(Sheet1!#REF!,"AAAAAD7X794=")</f>
        <v>#REF!</v>
      </c>
      <c r="HP7" t="e">
        <f>AND(Sheet1!#REF!,"AAAAAD7X798=")</f>
        <v>#REF!</v>
      </c>
      <c r="HQ7" t="e">
        <f>AND(Sheet1!#REF!,"AAAAAD7X7+A=")</f>
        <v>#REF!</v>
      </c>
      <c r="HR7" t="e">
        <f>AND(Sheet1!#REF!,"AAAAAD7X7+E=")</f>
        <v>#REF!</v>
      </c>
      <c r="HS7" t="e">
        <f>AND(Sheet1!#REF!,"AAAAAD7X7+I=")</f>
        <v>#REF!</v>
      </c>
      <c r="HT7" t="e">
        <f>AND(Sheet1!#REF!,"AAAAAD7X7+M=")</f>
        <v>#REF!</v>
      </c>
      <c r="HU7" t="e">
        <f>AND(Sheet1!#REF!,"AAAAAD7X7+Q=")</f>
        <v>#REF!</v>
      </c>
      <c r="HV7" t="e">
        <f>AND(Sheet1!#REF!,"AAAAAD7X7+U=")</f>
        <v>#REF!</v>
      </c>
      <c r="HW7" t="e">
        <f>AND(Sheet1!#REF!,"AAAAAD7X7+Y=")</f>
        <v>#REF!</v>
      </c>
      <c r="HX7" t="e">
        <f>AND(Sheet1!#REF!,"AAAAAD7X7+c=")</f>
        <v>#REF!</v>
      </c>
      <c r="HY7" t="e">
        <f>AND(Sheet1!#REF!,"AAAAAD7X7+g=")</f>
        <v>#REF!</v>
      </c>
      <c r="HZ7" t="e">
        <f>AND(Sheet1!#REF!,"AAAAAD7X7+k=")</f>
        <v>#REF!</v>
      </c>
      <c r="IA7" t="e">
        <f>AND(Sheet1!#REF!,"AAAAAD7X7+o=")</f>
        <v>#REF!</v>
      </c>
      <c r="IB7" t="e">
        <f>IF(Sheet1!#REF!,"AAAAAD7X7+s=",0)</f>
        <v>#REF!</v>
      </c>
      <c r="IC7" t="e">
        <f>AND(Sheet1!#REF!,"AAAAAD7X7+w=")</f>
        <v>#REF!</v>
      </c>
      <c r="ID7" t="e">
        <f>AND(Sheet1!#REF!,"AAAAAD7X7+0=")</f>
        <v>#REF!</v>
      </c>
      <c r="IE7" t="e">
        <f>AND(Sheet1!#REF!,"AAAAAD7X7+4=")</f>
        <v>#REF!</v>
      </c>
      <c r="IF7" t="e">
        <f>AND(Sheet1!#REF!,"AAAAAD7X7+8=")</f>
        <v>#REF!</v>
      </c>
      <c r="IG7" t="e">
        <f>AND(Sheet1!#REF!,"AAAAAD7X7/A=")</f>
        <v>#REF!</v>
      </c>
      <c r="IH7" t="e">
        <f>AND(Sheet1!#REF!,"AAAAAD7X7/E=")</f>
        <v>#REF!</v>
      </c>
      <c r="II7" t="e">
        <f>AND(Sheet1!#REF!,"AAAAAD7X7/I=")</f>
        <v>#REF!</v>
      </c>
      <c r="IJ7" t="e">
        <f>AND(Sheet1!#REF!,"AAAAAD7X7/M=")</f>
        <v>#REF!</v>
      </c>
      <c r="IK7" t="e">
        <f>AND(Sheet1!#REF!,"AAAAAD7X7/Q=")</f>
        <v>#REF!</v>
      </c>
      <c r="IL7" t="e">
        <f>AND(Sheet1!#REF!,"AAAAAD7X7/U=")</f>
        <v>#REF!</v>
      </c>
      <c r="IM7" t="e">
        <f>AND(Sheet1!#REF!,"AAAAAD7X7/Y=")</f>
        <v>#REF!</v>
      </c>
      <c r="IN7" t="e">
        <f>AND(Sheet1!#REF!,"AAAAAD7X7/c=")</f>
        <v>#REF!</v>
      </c>
      <c r="IO7" t="e">
        <f>AND(Sheet1!#REF!,"AAAAAD7X7/g=")</f>
        <v>#REF!</v>
      </c>
      <c r="IP7" t="e">
        <f>AND(Sheet1!#REF!,"AAAAAD7X7/k=")</f>
        <v>#REF!</v>
      </c>
      <c r="IQ7" t="e">
        <f>AND(Sheet1!#REF!,"AAAAAD7X7/o=")</f>
        <v>#REF!</v>
      </c>
      <c r="IR7" t="e">
        <f>AND(Sheet1!#REF!,"AAAAAD7X7/s=")</f>
        <v>#REF!</v>
      </c>
      <c r="IS7" t="e">
        <f>AND(Sheet1!#REF!,"AAAAAD7X7/w=")</f>
        <v>#REF!</v>
      </c>
      <c r="IT7" t="e">
        <f>AND(Sheet1!#REF!,"AAAAAD7X7/0=")</f>
        <v>#REF!</v>
      </c>
      <c r="IU7" t="e">
        <f>AND(Sheet1!#REF!,"AAAAAD7X7/4=")</f>
        <v>#REF!</v>
      </c>
      <c r="IV7" t="e">
        <f>AND(Sheet1!#REF!,"AAAAAD7X7/8=")</f>
        <v>#REF!</v>
      </c>
    </row>
    <row r="8" spans="1:79" ht="12.75">
      <c r="A8" t="e">
        <f>AND(Sheet1!#REF!,"AAAAAH6/vwA=")</f>
        <v>#REF!</v>
      </c>
      <c r="B8" t="e">
        <f>AND(Sheet1!#REF!,"AAAAAH6/vwE=")</f>
        <v>#REF!</v>
      </c>
      <c r="C8">
        <f>IF(Sheet1!129:129,"AAAAAH6/vwI=",0)</f>
        <v>0</v>
      </c>
      <c r="D8" t="e">
        <f>AND(Sheet1!A129,"AAAAAH6/vwM=")</f>
        <v>#VALUE!</v>
      </c>
      <c r="E8" t="e">
        <f>AND(Sheet1!B129,"AAAAAH6/vwQ=")</f>
        <v>#VALUE!</v>
      </c>
      <c r="F8" t="e">
        <f>AND(Sheet1!C129,"AAAAAH6/vwU=")</f>
        <v>#VALUE!</v>
      </c>
      <c r="G8" t="e">
        <f>AND(Sheet1!D129,"AAAAAH6/vwY=")</f>
        <v>#VALUE!</v>
      </c>
      <c r="H8" t="e">
        <f>AND(Sheet1!E129,"AAAAAH6/vwc=")</f>
        <v>#VALUE!</v>
      </c>
      <c r="I8" t="e">
        <f>AND(Sheet1!#REF!,"AAAAAH6/vwg=")</f>
        <v>#REF!</v>
      </c>
      <c r="J8" t="e">
        <f>AND(Sheet1!G129,"AAAAAH6/vwk=")</f>
        <v>#VALUE!</v>
      </c>
      <c r="K8" t="e">
        <f>AND(Sheet1!I129,"AAAAAH6/vwo=")</f>
        <v>#VALUE!</v>
      </c>
      <c r="L8" t="e">
        <f>AND(Sheet1!J129,"AAAAAH6/vws=")</f>
        <v>#VALUE!</v>
      </c>
      <c r="M8" t="e">
        <f>AND(Sheet1!K129,"AAAAAH6/vww=")</f>
        <v>#VALUE!</v>
      </c>
      <c r="N8" t="e">
        <f>AND(Sheet1!L129,"AAAAAH6/vw0=")</f>
        <v>#VALUE!</v>
      </c>
      <c r="O8" t="e">
        <f>AND(Sheet1!M129,"AAAAAH6/vw4=")</f>
        <v>#VALUE!</v>
      </c>
      <c r="P8" t="e">
        <f>AND(Sheet1!N129,"AAAAAH6/vw8=")</f>
        <v>#VALUE!</v>
      </c>
      <c r="Q8" t="e">
        <f>AND(Sheet1!O129,"AAAAAH6/vxA=")</f>
        <v>#VALUE!</v>
      </c>
      <c r="R8" t="e">
        <f>AND(Sheet1!P129,"AAAAAH6/vxE=")</f>
        <v>#VALUE!</v>
      </c>
      <c r="S8" t="e">
        <f>AND(Sheet1!Q129,"AAAAAH6/vxI=")</f>
        <v>#VALUE!</v>
      </c>
      <c r="T8" t="e">
        <f>AND(Sheet1!R129,"AAAAAH6/vxM=")</f>
        <v>#VALUE!</v>
      </c>
      <c r="U8" t="e">
        <f>AND(Sheet1!S129,"AAAAAH6/vxQ=")</f>
        <v>#VALUE!</v>
      </c>
      <c r="V8" t="e">
        <f>AND(Sheet1!T129,"AAAAAH6/vxU=")</f>
        <v>#VALUE!</v>
      </c>
      <c r="W8" t="e">
        <f>AND(Sheet1!U129,"AAAAAH6/vxY=")</f>
        <v>#VALUE!</v>
      </c>
      <c r="X8" t="e">
        <f>AND(Sheet1!V129,"AAAAAH6/vxc=")</f>
        <v>#VALUE!</v>
      </c>
      <c r="Y8" t="e">
        <f>AND(Sheet1!W129,"AAAAAH6/vxg=")</f>
        <v>#VALUE!</v>
      </c>
      <c r="Z8">
        <f>IF(Sheet1!130:130,"AAAAAH6/vxk=",0)</f>
        <v>0</v>
      </c>
      <c r="AA8" t="e">
        <f>AND(Sheet1!A130,"AAAAAH6/vxo=")</f>
        <v>#VALUE!</v>
      </c>
      <c r="AB8" t="e">
        <f>AND(Sheet1!B130,"AAAAAH6/vxs=")</f>
        <v>#VALUE!</v>
      </c>
      <c r="AC8" t="e">
        <f>AND(Sheet1!C130,"AAAAAH6/vxw=")</f>
        <v>#VALUE!</v>
      </c>
      <c r="AD8" t="e">
        <f>AND(Sheet1!D130,"AAAAAH6/vx0=")</f>
        <v>#VALUE!</v>
      </c>
      <c r="AE8" t="e">
        <f>AND(Sheet1!E130,"AAAAAH6/vx4=")</f>
        <v>#VALUE!</v>
      </c>
      <c r="AF8" t="e">
        <f>AND(Sheet1!#REF!,"AAAAAH6/vx8=")</f>
        <v>#REF!</v>
      </c>
      <c r="AG8" t="e">
        <f>AND(Sheet1!G130,"AAAAAH6/vyA=")</f>
        <v>#VALUE!</v>
      </c>
      <c r="AH8" t="e">
        <f>AND(Sheet1!I130,"AAAAAH6/vyE=")</f>
        <v>#VALUE!</v>
      </c>
      <c r="AI8" t="e">
        <f>AND(Sheet1!J130,"AAAAAH6/vyI=")</f>
        <v>#VALUE!</v>
      </c>
      <c r="AJ8" t="e">
        <f>AND(Sheet1!K130,"AAAAAH6/vyM=")</f>
        <v>#VALUE!</v>
      </c>
      <c r="AK8" t="e">
        <f>AND(Sheet1!L130,"AAAAAH6/vyQ=")</f>
        <v>#VALUE!</v>
      </c>
      <c r="AL8" t="e">
        <f>AND(Sheet1!M130,"AAAAAH6/vyU=")</f>
        <v>#VALUE!</v>
      </c>
      <c r="AM8" t="e">
        <f>AND(Sheet1!N130,"AAAAAH6/vyY=")</f>
        <v>#VALUE!</v>
      </c>
      <c r="AN8" t="e">
        <f>AND(Sheet1!O130,"AAAAAH6/vyc=")</f>
        <v>#VALUE!</v>
      </c>
      <c r="AO8" t="e">
        <f>AND(Sheet1!P130,"AAAAAH6/vyg=")</f>
        <v>#VALUE!</v>
      </c>
      <c r="AP8" t="e">
        <f>AND(Sheet1!Q130,"AAAAAH6/vyk=")</f>
        <v>#VALUE!</v>
      </c>
      <c r="AQ8" t="e">
        <f>AND(Sheet1!R130,"AAAAAH6/vyo=")</f>
        <v>#VALUE!</v>
      </c>
      <c r="AR8" t="e">
        <f>AND(Sheet1!S130,"AAAAAH6/vys=")</f>
        <v>#VALUE!</v>
      </c>
      <c r="AS8" t="e">
        <f>AND(Sheet1!T130,"AAAAAH6/vyw=")</f>
        <v>#VALUE!</v>
      </c>
      <c r="AT8" t="e">
        <f>AND(Sheet1!U130,"AAAAAH6/vy0=")</f>
        <v>#VALUE!</v>
      </c>
      <c r="AU8" t="e">
        <f>AND(Sheet1!V130,"AAAAAH6/vy4=")</f>
        <v>#VALUE!</v>
      </c>
      <c r="AV8" t="e">
        <f>AND(Sheet1!W130,"AAAAAH6/vy8=")</f>
        <v>#VALUE!</v>
      </c>
      <c r="AW8">
        <f>IF(Sheet1!131:131,"AAAAAH6/vzA=",0)</f>
        <v>0</v>
      </c>
      <c r="AX8" t="str">
        <f>IF(Sheet1!A:A,"AAAAAH6/vzE=",0)</f>
        <v>AAAAAH6/vzE=</v>
      </c>
      <c r="AY8" t="e">
        <f>IF(Sheet1!B:B,"AAAAAH6/vzI=",0)</f>
        <v>#VALUE!</v>
      </c>
      <c r="AZ8" t="str">
        <f>IF(Sheet1!C:C,"AAAAAH6/vzM=",0)</f>
        <v>AAAAAH6/vzM=</v>
      </c>
      <c r="BA8" t="e">
        <f>IF(Sheet1!D:D,"AAAAAH6/vzQ=",0)</f>
        <v>#VALUE!</v>
      </c>
      <c r="BB8" t="e">
        <f>IF(Sheet1!E:E,"AAAAAH6/vzU=",0)</f>
        <v>#VALUE!</v>
      </c>
      <c r="BC8" t="e">
        <f>IF(Sheet1!#REF!,"AAAAAH6/vzY=",0)</f>
        <v>#REF!</v>
      </c>
      <c r="BD8" t="e">
        <f>IF(Sheet1!G:G,"AAAAAH6/vzc=",0)</f>
        <v>#VALUE!</v>
      </c>
      <c r="BE8" t="str">
        <f>IF(Sheet1!I:I,"AAAAAH6/vzg=",0)</f>
        <v>AAAAAH6/vzg=</v>
      </c>
      <c r="BF8" t="e">
        <f>IF(Sheet1!J:J,"AAAAAH6/vzk=",0)</f>
        <v>#VALUE!</v>
      </c>
      <c r="BG8">
        <f>IF(Sheet1!K:K,"AAAAAH6/vzo=",0)</f>
        <v>0</v>
      </c>
      <c r="BH8">
        <f>IF(Sheet1!L:L,"AAAAAH6/vzs=",0)</f>
        <v>0</v>
      </c>
      <c r="BI8">
        <f>IF(Sheet1!M:M,"AAAAAH6/vzw=",0)</f>
        <v>0</v>
      </c>
      <c r="BJ8">
        <f>IF(Sheet1!N:N,"AAAAAH6/vz0=",0)</f>
        <v>0</v>
      </c>
      <c r="BK8">
        <f>IF(Sheet1!O:O,"AAAAAH6/vz4=",0)</f>
        <v>0</v>
      </c>
      <c r="BL8">
        <f>IF(Sheet1!P:P,"AAAAAH6/vz8=",0)</f>
        <v>0</v>
      </c>
      <c r="BM8">
        <f>IF(Sheet1!Q:Q,"AAAAAH6/v0A=",0)</f>
        <v>0</v>
      </c>
      <c r="BN8">
        <f>IF(Sheet1!R:R,"AAAAAH6/v0E=",0)</f>
        <v>0</v>
      </c>
      <c r="BO8">
        <f>IF(Sheet1!S:S,"AAAAAH6/v0I=",0)</f>
        <v>0</v>
      </c>
      <c r="BP8">
        <f>IF(Sheet1!T:T,"AAAAAH6/v0M=",0)</f>
        <v>0</v>
      </c>
      <c r="BQ8">
        <f>IF(Sheet1!U:U,"AAAAAH6/v0Q=",0)</f>
        <v>0</v>
      </c>
      <c r="BR8">
        <f>IF(Sheet1!V:V,"AAAAAH6/v0U=",0)</f>
        <v>0</v>
      </c>
      <c r="BS8">
        <f>IF(Sheet1!W:W,"AAAAAH6/v0Y=",0)</f>
        <v>0</v>
      </c>
      <c r="BT8">
        <f>IF(Sheet2!1:1,"AAAAAH6/v0c=",0)</f>
        <v>0</v>
      </c>
      <c r="BU8" t="e">
        <f>AND(Sheet2!A1,"AAAAAH6/v0g=")</f>
        <v>#VALUE!</v>
      </c>
      <c r="BV8">
        <f>IF(Sheet2!A:A,"AAAAAH6/v0k=",0)</f>
        <v>0</v>
      </c>
      <c r="BW8">
        <f>IF(Sheet3!1:1,"AAAAAH6/v0o=",0)</f>
        <v>0</v>
      </c>
      <c r="BX8" t="e">
        <f>AND(Sheet3!A1,"AAAAAH6/v0s=")</f>
        <v>#VALUE!</v>
      </c>
      <c r="BY8">
        <f>IF(Sheet3!A:A,"AAAAAH6/v0w=",0)</f>
        <v>0</v>
      </c>
      <c r="BZ8" t="s">
        <v>37</v>
      </c>
      <c r="CA8" t="e">
        <f>IF("N",Sheet1!PRINT_AREA,"AAAAAH6/v04=")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2012-09-30T03:14:37Z</cp:lastPrinted>
  <dcterms:created xsi:type="dcterms:W3CDTF">2009-08-29T19:13:26Z</dcterms:created>
  <dcterms:modified xsi:type="dcterms:W3CDTF">2012-10-03T11:54:40Z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11HZPDTwcAiK0mtSj_0m2M70BLcFxGkOENwwtJzLRSnk</vt:lpwstr>
  </property>
  <property fmtid="{D5CDD505-2E9C-101B-9397-08002B2CF9AE}" pid="4" name="Google.Documents.RevisionId">
    <vt:lpwstr>17346419084157956610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